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camaramed-my.sharepoint.com/personal/aariasg_camaramedellin_com_co/Documents/Documentos/06_Juridica/Conciliacion/"/>
    </mc:Choice>
  </mc:AlternateContent>
  <xr:revisionPtr revIDLastSave="466" documentId="8_{25B6C300-05F5-4071-BB27-9069F34DD38F}" xr6:coauthVersionLast="47" xr6:coauthVersionMax="47" xr10:uidLastSave="{FC09463B-8724-4218-9331-01F3843EE423}"/>
  <workbookProtection workbookAlgorithmName="SHA-512" workbookHashValue="NjQuYFdiop8iZGhlp6WFHCK2ohpBF/aldvBtWbbHeDSnTeNQCtPfNHTrajcQm+BV2hA9HEOfS6tan5NxvnUPEg==" workbookSaltValue="gjz81bTSBegcAY7WXk/ynA==" workbookSpinCount="100000" lockStructure="1"/>
  <bookViews>
    <workbookView showSheetTabs="0" xWindow="-110" yWindow="-110" windowWidth="19420" windowHeight="10300" tabRatio="1000" xr2:uid="{00000000-000D-0000-FFFF-FFFF00000000}"/>
  </bookViews>
  <sheets>
    <sheet name="CALCULADORA TARIFAS" sheetId="3" r:id="rId1"/>
    <sheet name="Conciliación" sheetId="2" r:id="rId2"/>
    <sheet name="TARIFAS CONCILIACION" sheetId="14" r:id="rId3"/>
    <sheet name="Arbitraje" sheetId="1" r:id="rId4"/>
    <sheet name="TARIFA ARBITRAJE" sheetId="10" r:id="rId5"/>
    <sheet name="Amigable Composición" sheetId="5" r:id="rId6"/>
    <sheet name="Insolvencia PN no CTE" sheetId="7" r:id="rId7"/>
    <sheet name="Tarifas insolvencia" sheetId="16" state="hidden" r:id="rId8"/>
    <sheet name="PRE" sheetId="17" r:id="rId9"/>
    <sheet name="TARIFAS_PRE" sheetId="1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4" l="1"/>
  <c r="D19" i="14"/>
  <c r="D18" i="14"/>
  <c r="D17" i="14"/>
  <c r="D16" i="14"/>
  <c r="D15" i="14"/>
  <c r="D14" i="14"/>
  <c r="D13" i="14"/>
  <c r="D12" i="14"/>
  <c r="D11" i="14"/>
  <c r="D10" i="14"/>
  <c r="D9" i="14"/>
  <c r="E9" i="14"/>
  <c r="E10" i="14"/>
  <c r="E11" i="14"/>
  <c r="E12" i="14"/>
  <c r="E13" i="14"/>
  <c r="E14" i="14"/>
  <c r="E15" i="14"/>
  <c r="E16" i="14"/>
  <c r="E17" i="14"/>
  <c r="E18" i="14"/>
  <c r="E19" i="14"/>
  <c r="E8" i="14"/>
  <c r="A10" i="14"/>
  <c r="A11" i="14"/>
  <c r="A12" i="14"/>
  <c r="A13" i="14"/>
  <c r="A14" i="14"/>
  <c r="A15" i="14"/>
  <c r="A16" i="14"/>
  <c r="A17" i="14"/>
  <c r="A18" i="14"/>
  <c r="A19" i="14"/>
  <c r="A20" i="14"/>
  <c r="A9" i="14"/>
  <c r="C15" i="1"/>
  <c r="D16" i="10"/>
  <c r="D15" i="10"/>
  <c r="D11" i="1"/>
  <c r="C13" i="10"/>
  <c r="C12" i="10"/>
  <c r="C13" i="1" l="1"/>
  <c r="C14" i="7"/>
  <c r="C7" i="18"/>
  <c r="C14" i="17" s="1"/>
  <c r="C6" i="18"/>
  <c r="C16" i="7"/>
  <c r="C15" i="2"/>
  <c r="C17" i="2" s="1"/>
  <c r="F8" i="14"/>
  <c r="C18" i="7" l="1"/>
  <c r="C19" i="7" s="1"/>
  <c r="C21" i="7" s="1"/>
  <c r="C16" i="17"/>
  <c r="C18" i="17" s="1"/>
  <c r="C21" i="17" l="1"/>
  <c r="C19" i="17"/>
  <c r="D7" i="16"/>
  <c r="D8" i="16"/>
  <c r="D9" i="16"/>
  <c r="D10" i="16"/>
  <c r="D11" i="16"/>
  <c r="D12" i="16"/>
  <c r="D13" i="16"/>
  <c r="D14" i="16"/>
  <c r="D15" i="16"/>
  <c r="D16" i="16"/>
  <c r="D17" i="16"/>
  <c r="D18" i="16"/>
  <c r="D19" i="16"/>
  <c r="D20" i="16"/>
  <c r="D21" i="16"/>
  <c r="D22" i="16"/>
  <c r="D23" i="16"/>
  <c r="D24" i="16"/>
  <c r="D25" i="16"/>
  <c r="D26" i="16"/>
  <c r="D27" i="16"/>
  <c r="D6" i="16"/>
  <c r="F20" i="14"/>
  <c r="F19" i="14"/>
  <c r="F18" i="14"/>
  <c r="F17" i="14"/>
  <c r="F16" i="14"/>
  <c r="F15" i="14"/>
  <c r="F14" i="14"/>
  <c r="F13" i="14"/>
  <c r="F12" i="14"/>
  <c r="F11" i="14"/>
  <c r="F10" i="14"/>
  <c r="F9" i="14"/>
  <c r="F7" i="14"/>
  <c r="H9" i="14" l="1"/>
  <c r="G12" i="14"/>
  <c r="H12" i="14"/>
  <c r="H14" i="14"/>
  <c r="H17" i="14"/>
  <c r="G18" i="14"/>
  <c r="H18" i="14"/>
  <c r="G7" i="14"/>
  <c r="H7" i="14"/>
  <c r="G11" i="14"/>
  <c r="H11" i="14" s="1"/>
  <c r="G17" i="14"/>
  <c r="G10" i="14"/>
  <c r="H10" i="14" s="1"/>
  <c r="G15" i="14"/>
  <c r="H15" i="14" s="1"/>
  <c r="G8" i="14"/>
  <c r="H8" i="14" s="1"/>
  <c r="G20" i="14"/>
  <c r="H20" i="14" s="1"/>
  <c r="G13" i="14"/>
  <c r="H13" i="14" s="1"/>
  <c r="G16" i="14"/>
  <c r="H16" i="14" s="1"/>
  <c r="G9" i="14"/>
  <c r="G14" i="14"/>
  <c r="G19" i="14"/>
  <c r="H19" i="14" s="1"/>
  <c r="F28" i="16"/>
  <c r="G28" i="16" s="1"/>
  <c r="D28" i="16"/>
  <c r="A28" i="16"/>
  <c r="F27" i="16"/>
  <c r="G27" i="16" s="1"/>
  <c r="C28" i="16"/>
  <c r="A27" i="16"/>
  <c r="F26" i="16"/>
  <c r="G26" i="16" s="1"/>
  <c r="C27" i="16"/>
  <c r="A26" i="16"/>
  <c r="F25" i="16"/>
  <c r="G25" i="16" s="1"/>
  <c r="C26" i="16"/>
  <c r="A25" i="16"/>
  <c r="F24" i="16"/>
  <c r="G24" i="16" s="1"/>
  <c r="C25" i="16"/>
  <c r="A24" i="16"/>
  <c r="F23" i="16"/>
  <c r="G23" i="16" s="1"/>
  <c r="C24" i="16"/>
  <c r="A23" i="16"/>
  <c r="F22" i="16"/>
  <c r="G22" i="16" s="1"/>
  <c r="C23" i="16"/>
  <c r="A22" i="16"/>
  <c r="F21" i="16"/>
  <c r="G21" i="16" s="1"/>
  <c r="C22" i="16"/>
  <c r="A21" i="16"/>
  <c r="F20" i="16"/>
  <c r="G20" i="16" s="1"/>
  <c r="C21" i="16"/>
  <c r="A20" i="16"/>
  <c r="F19" i="16"/>
  <c r="G19" i="16" s="1"/>
  <c r="C20" i="16"/>
  <c r="A19" i="16"/>
  <c r="F18" i="16"/>
  <c r="G18" i="16" s="1"/>
  <c r="C19" i="16"/>
  <c r="A18" i="16"/>
  <c r="F17" i="16"/>
  <c r="G17" i="16" s="1"/>
  <c r="C18" i="16"/>
  <c r="A17" i="16"/>
  <c r="F16" i="16"/>
  <c r="G16" i="16" s="1"/>
  <c r="C17" i="16"/>
  <c r="A16" i="16"/>
  <c r="F15" i="16"/>
  <c r="G15" i="16" s="1"/>
  <c r="C16" i="16"/>
  <c r="A15" i="16"/>
  <c r="F14" i="16"/>
  <c r="G14" i="16" s="1"/>
  <c r="C15" i="16"/>
  <c r="A14" i="16"/>
  <c r="F13" i="16"/>
  <c r="G13" i="16" s="1"/>
  <c r="C14" i="16"/>
  <c r="A13" i="16"/>
  <c r="F12" i="16"/>
  <c r="G12" i="16" s="1"/>
  <c r="C13" i="16"/>
  <c r="A12" i="16"/>
  <c r="F11" i="16"/>
  <c r="G11" i="16" s="1"/>
  <c r="C12" i="16"/>
  <c r="A11" i="16"/>
  <c r="F10" i="16"/>
  <c r="G10" i="16" s="1"/>
  <c r="C11" i="16"/>
  <c r="A10" i="16"/>
  <c r="F9" i="16"/>
  <c r="G9" i="16" s="1"/>
  <c r="C10" i="16"/>
  <c r="A9" i="16"/>
  <c r="F8" i="16"/>
  <c r="G8" i="16" s="1"/>
  <c r="C9" i="16"/>
  <c r="A8" i="16"/>
  <c r="F7" i="16"/>
  <c r="G7" i="16" s="1"/>
  <c r="C8" i="16"/>
  <c r="A7" i="16"/>
  <c r="F6" i="16"/>
  <c r="G6" i="16" s="1"/>
  <c r="C7" i="16"/>
  <c r="C6" i="16"/>
  <c r="D2" i="16" l="1"/>
  <c r="C17" i="1" l="1"/>
  <c r="C18" i="1" s="1"/>
  <c r="C5" i="10" l="1"/>
  <c r="C6" i="10"/>
  <c r="C7" i="10"/>
  <c r="C8" i="10"/>
  <c r="C9" i="10"/>
  <c r="C10" i="10"/>
  <c r="C19" i="2"/>
  <c r="C18" i="2" l="1"/>
  <c r="C13" i="5"/>
  <c r="C21" i="2" l="1"/>
  <c r="C15" i="5"/>
  <c r="C17" i="5" l="1"/>
  <c r="C19" i="5" s="1"/>
  <c r="C22" i="5" l="1"/>
  <c r="C20" i="5"/>
  <c r="D11" i="5" l="1"/>
  <c r="C23" i="1"/>
  <c r="E15" i="2"/>
  <c r="E19" i="2" l="1"/>
  <c r="E17" i="2"/>
  <c r="C20" i="1"/>
  <c r="C25" i="1" s="1"/>
  <c r="E18" i="2"/>
  <c r="E21" i="2" l="1"/>
  <c r="C22" i="1"/>
  <c r="C24"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SANTIAGO JOSE GALEANO CADAVID</author>
    <author>cvasquezg</author>
  </authors>
  <commentList>
    <comment ref="D11" authorId="0" shapeId="0" xr:uid="{FD3D068F-85D2-4C89-A991-4984B800A4B3}">
      <text>
        <r>
          <rPr>
            <sz val="9"/>
            <color indexed="81"/>
            <rFont val="Tahoma"/>
            <family val="2"/>
          </rPr>
          <t>Clasificación de la cuantía</t>
        </r>
      </text>
    </comment>
    <comment ref="C13" authorId="1" shapeId="0" xr:uid="{2FACA37A-498D-4F2E-B01B-034DF0FB557A}">
      <text>
        <r>
          <rPr>
            <b/>
            <sz val="9"/>
            <color indexed="81"/>
            <rFont val="Tahoma"/>
            <family val="2"/>
          </rPr>
          <t>Los gastos administrativos  iniciales se pagan al momento de presentar la demanda</t>
        </r>
        <r>
          <rPr>
            <sz val="9"/>
            <color indexed="81"/>
            <rFont val="Tahoma"/>
            <family val="2"/>
          </rPr>
          <t xml:space="preserve">
</t>
        </r>
      </text>
    </comment>
    <comment ref="C15" authorId="1" shapeId="0" xr:uid="{00000000-0006-0000-0300-000002000000}">
      <text>
        <r>
          <rPr>
            <b/>
            <sz val="9"/>
            <color indexed="81"/>
            <rFont val="Tahoma"/>
            <family val="2"/>
          </rPr>
          <t>En los trámites de cuantía indeterminada los árbitros tendrán como tope máximo para fijar los honorarios de cada uno la suma de 12.511,37 UVT, en los trámites con cuantía tendrán un tope de 25.022,75 UVT.</t>
        </r>
      </text>
    </comment>
    <comment ref="C17" authorId="1" shapeId="0" xr:uid="{00000000-0006-0000-0300-000003000000}">
      <text>
        <r>
          <rPr>
            <b/>
            <sz val="9"/>
            <color indexed="81"/>
            <rFont val="Tahoma"/>
            <family val="2"/>
          </rPr>
          <t>En caso de ser Árbito único, los mencionados topes de las tarifas podrán incrementarse hasta en un cincuenta por ciento (50%).</t>
        </r>
      </text>
    </comment>
    <comment ref="C23" authorId="1" shapeId="0" xr:uid="{00000000-0006-0000-0300-000004000000}">
      <text>
        <r>
          <rPr>
            <b/>
            <sz val="9"/>
            <color indexed="81"/>
            <rFont val="Tahoma"/>
            <family val="2"/>
          </rPr>
          <t>El cobro del IVA dependerá del régimen tributario del profesional. (0% - 2,4% - 8% - 19%)</t>
        </r>
      </text>
    </comment>
    <comment ref="C24" authorId="0" shapeId="0" xr:uid="{58D77F9F-FE04-4E2A-85A7-1550A2C84CA7}">
      <text>
        <r>
          <rPr>
            <b/>
            <sz val="9"/>
            <color indexed="81"/>
            <rFont val="Tahoma"/>
            <family val="2"/>
          </rPr>
          <t>El cobro del IVA dependerá del régimen tributario del profesional. (0% - 2,4% - 8% - 19%)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cvasquezg</author>
  </authors>
  <commentList>
    <comment ref="C13" authorId="0" shapeId="0" xr:uid="{00000000-0006-0000-0500-000001000000}">
      <text>
        <r>
          <rPr>
            <b/>
            <sz val="9"/>
            <color indexed="81"/>
            <rFont val="Tahoma"/>
            <family val="2"/>
          </rPr>
          <t>Los gastos administrativos  iniciales se pagan al momento de presentar la demanda</t>
        </r>
        <r>
          <rPr>
            <sz val="9"/>
            <color indexed="81"/>
            <rFont val="Tahoma"/>
            <family val="2"/>
          </rPr>
          <t xml:space="preserve">
</t>
        </r>
      </text>
    </comment>
  </commentList>
</comments>
</file>

<file path=xl/sharedStrings.xml><?xml version="1.0" encoding="utf-8"?>
<sst xmlns="http://schemas.openxmlformats.org/spreadsheetml/2006/main" count="111" uniqueCount="86">
  <si>
    <t>Calculadora de tarifas</t>
  </si>
  <si>
    <t>Centro de Conciliación, Arbitraje y Amigable Composición</t>
  </si>
  <si>
    <t>Cámara de Comercio de Medellín para Antioquia</t>
  </si>
  <si>
    <t>Seleccione el tipo de servicio que desea cotizar:</t>
  </si>
  <si>
    <t>Calculadora de tarifas - Conciliación</t>
  </si>
  <si>
    <t>* Ingrese solo la información de las casillas rojas:</t>
  </si>
  <si>
    <t>CUANTÍA DEL CASO:</t>
  </si>
  <si>
    <t>Encuentro adicional:</t>
  </si>
  <si>
    <t>Después del 4° encuentro</t>
  </si>
  <si>
    <t>TARIFA INICIAL</t>
  </si>
  <si>
    <r>
      <t xml:space="preserve">* HONORARIOS CONCILIADOR 
    </t>
    </r>
    <r>
      <rPr>
        <sz val="10"/>
        <color indexed="8"/>
        <rFont val="Calibri"/>
        <family val="2"/>
      </rPr>
      <t>(45% del total de la tarifa inicial)</t>
    </r>
  </si>
  <si>
    <r>
      <t xml:space="preserve">* GASTOS ADMINISTRATIVOS 
    </t>
    </r>
    <r>
      <rPr>
        <sz val="10"/>
        <color indexed="8"/>
        <rFont val="Calibri"/>
        <family val="2"/>
      </rPr>
      <t>(55% del total de la tarifa inicial)</t>
    </r>
  </si>
  <si>
    <t>* IVA (19%)</t>
  </si>
  <si>
    <t>TOTAL A PAGAR</t>
  </si>
  <si>
    <t>NOTAS:</t>
  </si>
  <si>
    <r>
      <t xml:space="preserve">Si el caso es de cuantía indeterminada o sin cuantía, poner </t>
    </r>
    <r>
      <rPr>
        <i/>
        <sz val="14"/>
        <color indexed="10"/>
        <rFont val="Calibri"/>
        <family val="2"/>
      </rPr>
      <t xml:space="preserve">cero (0) </t>
    </r>
    <r>
      <rPr>
        <i/>
        <sz val="14"/>
        <color indexed="8"/>
        <rFont val="Calibri"/>
        <family val="2"/>
      </rPr>
      <t xml:space="preserve">en la casilla </t>
    </r>
  </si>
  <si>
    <t>de la cuantía del caso.</t>
  </si>
  <si>
    <t>* Según el artículo 27 del Decreto 1829 de 2013, la tarifa deberá ser liquidada y cobrada al solicitante al momento de presentar la solicitud de conciliación. Las tarifas de conciliación no dependen del resultado de la misma. Con todo, en el evento en que la parte convocada no asista a la audiencia de conciliación, el Centro devolverá al convocante como mínimo el 70% de la tarifa cancelada, de acuerdo con lo establecido en el respectivo Reglamento Interno.
En caso de segunda convocatoria, el porcentaje mínimo de devolución será del 60% de la tarifa cancelada, según lo disponga el Reglamento.</t>
  </si>
  <si>
    <t>Valor UVT 2025</t>
  </si>
  <si>
    <t>superior a 5 se aproxima arriba</t>
  </si>
  <si>
    <t>TARIFA UVT</t>
  </si>
  <si>
    <t>TARIFA EN PESOS SIN IVA</t>
  </si>
  <si>
    <t>DESDE</t>
  </si>
  <si>
    <t>HASTA</t>
  </si>
  <si>
    <t>TARIFA EN PESOS CON IVA</t>
  </si>
  <si>
    <t>en adelante</t>
  </si>
  <si>
    <t>Calculadora de tarifas - ARBITRAJE</t>
  </si>
  <si>
    <t>Ingrese solo la información de las casillas rojas:</t>
  </si>
  <si>
    <t>GASTOS DE ADMINISTRACIÓN INICIALES (IVA Incluido)</t>
  </si>
  <si>
    <t>HONORARIOS DE UN ÁRBITRO</t>
  </si>
  <si>
    <t xml:space="preserve"># de Árbitros </t>
  </si>
  <si>
    <t>TOTAL HONORARIOS ÁRBITROS</t>
  </si>
  <si>
    <t>HONORARIOS DEL SECRETARIO</t>
  </si>
  <si>
    <t>GASTOS ADMINISTRATIVOS FINALES (IVA Incluido)</t>
  </si>
  <si>
    <t>TOTAL GASTOS Y HONORARIOS (Antes de IVA)</t>
  </si>
  <si>
    <t>IVA (19%) DE ARBITROS</t>
  </si>
  <si>
    <t>IVA (19%) DE SECRETARIO</t>
  </si>
  <si>
    <t>IVA (19%) DE GASTOS ADMINISTRATIVOS</t>
  </si>
  <si>
    <t>NOTAS IMPORTANTES:</t>
  </si>
  <si>
    <t>PESOS [$]</t>
  </si>
  <si>
    <t>ARBITRO</t>
  </si>
  <si>
    <t>Desde</t>
  </si>
  <si>
    <t>Hasta</t>
  </si>
  <si>
    <t>HONORARIOS</t>
  </si>
  <si>
    <t>8,34 UVT</t>
  </si>
  <si>
    <t>Calculadora de tarifas - AMIGABLE COMPOSICIÓN</t>
  </si>
  <si>
    <t>GASTOS INICIALES (IVA Incluido)</t>
  </si>
  <si>
    <t xml:space="preserve">                                                                         </t>
  </si>
  <si>
    <t>HONORARIOS DE UN AMIGABLE COMPONEDOR</t>
  </si>
  <si>
    <t>GASTOS ADMINISTRATIVOS</t>
  </si>
  <si>
    <t>IVA (19%)</t>
  </si>
  <si>
    <t>TOTAL A PAGAR AL FINAL (IVA incluido)</t>
  </si>
  <si>
    <r>
      <t xml:space="preserve">* Si el caso es de </t>
    </r>
    <r>
      <rPr>
        <b/>
        <i/>
        <sz val="14"/>
        <color indexed="10"/>
        <rFont val="Calibri"/>
        <family val="2"/>
      </rPr>
      <t>cuantía indeterminada</t>
    </r>
    <r>
      <rPr>
        <i/>
        <sz val="14"/>
        <color indexed="8"/>
        <rFont val="Calibri"/>
        <family val="2"/>
      </rPr>
      <t xml:space="preserve">, poner </t>
    </r>
    <r>
      <rPr>
        <b/>
        <i/>
        <sz val="14"/>
        <color indexed="10"/>
        <rFont val="Calibri"/>
        <family val="2"/>
      </rPr>
      <t>cero (0)</t>
    </r>
    <r>
      <rPr>
        <i/>
        <sz val="14"/>
        <color indexed="8"/>
        <rFont val="Calibri"/>
        <family val="2"/>
      </rPr>
      <t xml:space="preserve"> en la casilla de la cuantía del caso.
</t>
    </r>
    <r>
      <rPr>
        <i/>
        <sz val="12"/>
        <color indexed="8"/>
        <rFont val="Calibri"/>
        <family val="2"/>
      </rPr>
      <t xml:space="preserve">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t>
    </r>
  </si>
  <si>
    <r>
      <rPr>
        <b/>
        <i/>
        <sz val="10"/>
        <color indexed="8"/>
        <rFont val="Trebuchet MS"/>
        <family val="2"/>
      </rPr>
      <t>ARTÍCULO 159. TARIFAS:</t>
    </r>
    <r>
      <rPr>
        <i/>
        <sz val="10"/>
        <color indexed="8"/>
        <rFont val="Trebuchet MS"/>
        <family val="2"/>
      </rPr>
      <t xml:space="preserve">
PARÁGRAFO 1.- Los gastos del Centro corresponderán al 50% de los honorarios de un amigable componedor. 
PARÁGRAFO 2.- En relación con las tarifas, se seguirán las siguientes reglas:
1.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
2. El valor total fijado deberá ser pagado por las partes en proporciones iguales, cada una del 50%, en la oportunidad establecida por el amigable componedor.
3. Cuando exista pluralidad de convocantes o convocados, los integrantes de cada parte actuarán conjuntamente, en su condición de convocantes o convocados y, en todo caso, deberán estarse a lo dispuesto por el amigable componedor respecto de los pagos a cargo de cada uno. Para los efectos del pago, existirá solidaridad entre los miembros que integren una parte, llámense convocantes o convocados.
4. Los gastos iniciales que se pagan al momento de la presentación de la solicitud no serán reintegrados por ningún motivo.
5.  El amigable componedor establecerá los casos en que haya lugar a la devolución de la tarifa y su porcentaje, dependiendo de la etapa y de las actuaciones que se hayan realizado en el transcurso de la amigable composición sin incluir lo correspondiente a los gastos iniciales.
</t>
    </r>
    <r>
      <rPr>
        <b/>
        <i/>
        <sz val="10"/>
        <color indexed="8"/>
        <rFont val="Trebuchet MS"/>
        <family val="2"/>
      </rPr>
      <t>ARTÍCULO  160.-  DISTRIBUCIÓN  TARIFARIA: Las  anteriores  tarifas  se  distribuirán  de la siguiente forma:</t>
    </r>
    <r>
      <rPr>
        <i/>
        <sz val="10"/>
        <color indexed="8"/>
        <rFont val="Trebuchet MS"/>
        <family val="2"/>
      </rPr>
      <t xml:space="preserve">
En caso que el amigable componedor decida designar un secretario la proporción tarifaria será de:
80% Por concepto de honorarios del amigable componedor.
20% Por concepto de gastos  secretariales. De acuerdo con el artículo 12, numeral 2 del presente Reglamento, si se escoge como secretario a uno de los abogados vinculados laboralmente al Centro, este porcentaje será para el Centro. 
En caso que el panel de amigables componedores, esté integrado por dos o más amigables componedores el valor total de los honorarios fijados para los amigables componedores será dividido en partes iguales entre ellos.
PARÁGRAFO 1.- Los porcentajes y las oportunidades de causación de los honorarios y gastos de administración se fijarán por el amigable componedor en la reunión de apertura prevista este reglamento.
PARÁGRAFO 2.- Corresponde al amigable componedor pagar al Centro las sumas relacionadas con los gastos administrativos y secretariales, dentro de los 10 días calendario, contados desde el momento en que se realice por las partes el pago total de los honorarios y gastos de la amigable composición.
</t>
    </r>
  </si>
  <si>
    <t>Calculadora de tarifas - INSOLVENCIA PERSONA NATURAL NO COMERCIANTE</t>
  </si>
  <si>
    <t>TOTAL A PAGAR ANTES DE IVA</t>
  </si>
  <si>
    <t>TOTAL A PAGAR CON IVA</t>
  </si>
  <si>
    <t>MONTO DEL CAPITAL DE CRÉDITOS (Ajustado conforme Decreto 1885 de 2021)</t>
  </si>
  <si>
    <t>CUANTIA EN UVT</t>
  </si>
  <si>
    <t>CUANTIA EN PESOS 2024</t>
  </si>
  <si>
    <t>TARIFA IVA INCLUIDO</t>
  </si>
  <si>
    <t>HONORARIOS MEDIADORES (60%)</t>
  </si>
  <si>
    <t>GASTOS DE ADMINISTRACIÓN (40%)</t>
  </si>
  <si>
    <t>Calculadora de tarifas - PROCEDIMIENTO DE RECUPERACIÓN EMPRESARIAL</t>
  </si>
  <si>
    <t>MONTO DE LOS PASIVOS:</t>
  </si>
  <si>
    <t>HONORARIOS MEDIADORES (50%)</t>
  </si>
  <si>
    <t>GASTOS DE ADMINISTRACIÓN (50%)</t>
  </si>
  <si>
    <t>TARIFAS PRES 2025</t>
  </si>
  <si>
    <t>UVB 2025</t>
  </si>
  <si>
    <t>UVB</t>
  </si>
  <si>
    <t>Tarifa</t>
  </si>
  <si>
    <t>Valor mínimo</t>
  </si>
  <si>
    <t>Valor máximo</t>
  </si>
  <si>
    <t>CUANTIA PRETENSIONES EN PESOS 2026</t>
  </si>
  <si>
    <t>SMMLV 2026</t>
  </si>
  <si>
    <t>SMLMV 2026</t>
  </si>
  <si>
    <t>* En el caso de cuantía indeterminada, el valor lo define el tribunal arbitral de conformidad con un análisis de fondo de la demanda y el proceso.
De conformidad con lo establecido por el artículo 2.2.4.2.6.2.3 del Decreto 0042 de 2026: “Cuando no fuere posible determinar la cuantía de las pretensiones, los árbitros tendrán como suma límite para fijar los honorarios de cada uno, la cuantía cincuenta y tres mil novecientos treinta y cuatro con setenta y uno (53.934,71) Unidades de Valor Básico (UVB)”
De conformidad con el parágrafo 1 del artículo 2.2.4.2.6.2.1 del Decreto 0042 de 2026, en caso de árbitro único, los topes establecidos podrán incrementarse hasta en un cincuenta por ciento (50%).
De conformidad con el parágrafo 2 del artículo 2.2.4.2.6.2.1 del Decreto 0042 de 2026, los honorarios de cada árbitro no podrán superar el valor señalado en el artículo 26 de la Ley 1563 de 2012, siendo este 1000 SMMLV.
Los gastos procesales (pruebas, notificaciones, fotocopias, etc.), serán calculados por cada tribunal según sea el caso dentro los gastos administrativos del proceso y son determinados exclusivamente por los árbitros después de tener conocimiento del asunto.
Con la presentación de cualquier convocatoria a tribunal de arbitramento, la parte convocante deberá cancelar a favor del Centro, los siguientes valores:
- Si es un trámite de menor cuantía, el equivalente a CIENTO SIETE CON OCHENTA Y SEIS Unidades de Valor Básico UVB (107,86 UVB).
- Si es un trámite de mayor cuantía o cuantía indeterminada, el equivalente a DOSCIENTOS QUINCE CON SETENTA Y SEIS Unidades de Valor Básico UVB (215,76 UVB).
Los anteriores gastos iniciales se imputarán a los gastos administrativos que decrete el tribunal. En los casos donde el tribunal no pueda instalarse para asumir sus funciones se reembolsarán dichos recursos.</t>
  </si>
  <si>
    <t>Menor cuantía</t>
  </si>
  <si>
    <t>Mayor cuantía</t>
  </si>
  <si>
    <t>UVB 2026</t>
  </si>
  <si>
    <t>Tope máx. honorarios</t>
  </si>
  <si>
    <t>Valor UVB 2026</t>
  </si>
  <si>
    <t>Marco tarifario ajustado al Decreto 042 de 2025</t>
  </si>
  <si>
    <t>CUANTIA PRETENSIONES EN UVB</t>
  </si>
  <si>
    <t>TARIFA UVB</t>
  </si>
  <si>
    <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</si>
</sst>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164" formatCode="_(* #,##0.00_);_(* \(#,##0.00\);_(* &quot;-&quot;??_);_(@_)"/>
    <numFmt numFmtId="165" formatCode="_(&quot;$&quot;\ * #,##0.00_);_(&quot;$&quot;\ * \(#,##0.00\);_(&quot;$&quot;\ * &quot;-&quot;??_);_(@_)"/>
    <numFmt numFmtId="166" formatCode="_(&quot;$&quot;\ * #,##0_);_(&quot;$&quot;\ * \(#,##0\);_(&quot;$&quot;\ * &quot;-&quot;??_);_(@_)"/>
    <numFmt numFmtId="167" formatCode="_(&quot;$&quot;\ * #,##0.0_);_(&quot;$&quot;\ * \(#,##0.0\);_(&quot;$&quot;\ * &quot;-&quot;??_);_(@_)"/>
    <numFmt numFmtId="168" formatCode="0.000000000000"/>
    <numFmt numFmtId="169" formatCode="_-&quot;$&quot;\ * #,##0_-;\-&quot;$&quot;\ * #,##0_-;_-&quot;$&quot;\ * &quot;-&quot;??_-;_-@_-"/>
    <numFmt numFmtId="170" formatCode="_-[$$-409]* #,##0_ ;_-[$$-409]* \-#,##0\ ;_-[$$-409]* &quot;-&quot;??_ ;_-@_ "/>
    <numFmt numFmtId="171" formatCode="0.0000%"/>
    <numFmt numFmtId="172" formatCode="#,##0.000"/>
  </numFmts>
  <fonts count="33" x14ac:knownFonts="1">
    <font>
      <sz val="11"/>
      <color theme="1"/>
      <name val="Calibri"/>
      <family val="2"/>
      <scheme val="minor"/>
    </font>
    <font>
      <i/>
      <sz val="14"/>
      <color indexed="8"/>
      <name val="Calibri"/>
      <family val="2"/>
    </font>
    <font>
      <b/>
      <i/>
      <sz val="14"/>
      <color indexed="10"/>
      <name val="Calibri"/>
      <family val="2"/>
    </font>
    <font>
      <i/>
      <sz val="14"/>
      <color indexed="10"/>
      <name val="Calibri"/>
      <family val="2"/>
    </font>
    <font>
      <sz val="9"/>
      <color indexed="81"/>
      <name val="Tahoma"/>
      <family val="2"/>
    </font>
    <font>
      <b/>
      <sz val="9"/>
      <color indexed="81"/>
      <name val="Tahoma"/>
      <family val="2"/>
    </font>
    <font>
      <i/>
      <sz val="10"/>
      <color indexed="8"/>
      <name val="Trebuchet MS"/>
      <family val="2"/>
    </font>
    <font>
      <sz val="10"/>
      <color indexed="8"/>
      <name val="Calibri"/>
      <family val="2"/>
    </font>
    <font>
      <b/>
      <i/>
      <sz val="10"/>
      <color indexed="8"/>
      <name val="Trebuchet MS"/>
      <family val="2"/>
    </font>
    <font>
      <i/>
      <sz val="12"/>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i/>
      <sz val="11"/>
      <color rgb="FFED1C24"/>
      <name val="Calibri"/>
      <family val="2"/>
      <scheme val="minor"/>
    </font>
    <font>
      <b/>
      <i/>
      <sz val="11"/>
      <color theme="1"/>
      <name val="Calibri"/>
      <family val="2"/>
      <scheme val="minor"/>
    </font>
    <font>
      <i/>
      <sz val="14"/>
      <color theme="1"/>
      <name val="Calibri"/>
      <family val="2"/>
      <scheme val="minor"/>
    </font>
    <font>
      <b/>
      <i/>
      <sz val="11"/>
      <color rgb="FFED1C24"/>
      <name val="Calibri"/>
      <family val="2"/>
      <scheme val="minor"/>
    </font>
    <font>
      <i/>
      <sz val="11"/>
      <color rgb="FFFF0000"/>
      <name val="Calibri"/>
      <family val="2"/>
      <scheme val="minor"/>
    </font>
    <font>
      <b/>
      <i/>
      <sz val="12"/>
      <color rgb="FFFF0000"/>
      <name val="Calibri"/>
      <family val="2"/>
      <scheme val="minor"/>
    </font>
    <font>
      <b/>
      <i/>
      <sz val="16"/>
      <color theme="1"/>
      <name val="Calibri"/>
      <family val="2"/>
      <scheme val="minor"/>
    </font>
    <font>
      <b/>
      <i/>
      <sz val="16"/>
      <color rgb="FFED1C24"/>
      <name val="Calibri"/>
      <family val="2"/>
      <scheme val="minor"/>
    </font>
    <font>
      <b/>
      <i/>
      <sz val="18"/>
      <color rgb="FFED1C24"/>
      <name val="Calibri"/>
      <family val="2"/>
      <scheme val="minor"/>
    </font>
    <font>
      <b/>
      <sz val="16"/>
      <color rgb="FFBCBEC0"/>
      <name val="Calibri"/>
      <family val="2"/>
      <scheme val="minor"/>
    </font>
    <font>
      <i/>
      <sz val="10"/>
      <color theme="1"/>
      <name val="Trebuchet MS"/>
      <family val="2"/>
    </font>
    <font>
      <b/>
      <i/>
      <sz val="11"/>
      <color rgb="FFFF0000"/>
      <name val="Calibri"/>
      <family val="2"/>
      <scheme val="minor"/>
    </font>
    <font>
      <i/>
      <sz val="12"/>
      <color theme="1"/>
      <name val="Calibri"/>
      <family val="2"/>
      <scheme val="minor"/>
    </font>
    <font>
      <sz val="11"/>
      <name val="Arial"/>
      <family val="2"/>
    </font>
    <font>
      <b/>
      <sz val="14"/>
      <color theme="0"/>
      <name val="Calibri"/>
      <family val="2"/>
      <scheme val="minor"/>
    </font>
    <font>
      <sz val="8"/>
      <color theme="1"/>
      <name val="Arial"/>
      <family val="2"/>
    </font>
    <font>
      <sz val="10"/>
      <color theme="1"/>
      <name val="Arial"/>
      <family val="2"/>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BCBEC0"/>
        <bgColor indexed="64"/>
      </patternFill>
    </fill>
    <fill>
      <patternFill patternType="solid">
        <fgColor rgb="FFED1C2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164" fontId="10" fillId="0" borderId="0" applyFont="0" applyFill="0" applyBorder="0" applyAlignment="0" applyProtection="0"/>
    <xf numFmtId="165"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2" fontId="10" fillId="0" borderId="0" applyFont="0" applyFill="0" applyBorder="0" applyAlignment="0" applyProtection="0"/>
  </cellStyleXfs>
  <cellXfs count="136">
    <xf numFmtId="0" fontId="0" fillId="0" borderId="0" xfId="0"/>
    <xf numFmtId="0" fontId="0" fillId="2" borderId="0" xfId="0" applyFill="1"/>
    <xf numFmtId="0" fontId="0" fillId="2" borderId="0" xfId="0" applyFill="1" applyProtection="1">
      <protection locked="0"/>
    </xf>
    <xf numFmtId="0" fontId="12" fillId="2" borderId="0" xfId="0" applyFont="1" applyFill="1" applyProtection="1">
      <protection locked="0"/>
    </xf>
    <xf numFmtId="166" fontId="10" fillId="3" borderId="0" xfId="2" applyNumberFormat="1" applyFont="1" applyFill="1" applyProtection="1"/>
    <xf numFmtId="166" fontId="12" fillId="3" borderId="0" xfId="2" applyNumberFormat="1" applyFont="1" applyFill="1" applyProtection="1"/>
    <xf numFmtId="0" fontId="13" fillId="2" borderId="0" xfId="0" applyFont="1" applyFill="1" applyAlignment="1" applyProtection="1">
      <alignment horizontal="center"/>
      <protection locked="0"/>
    </xf>
    <xf numFmtId="0" fontId="14" fillId="2" borderId="0" xfId="0" applyFont="1" applyFill="1" applyProtection="1">
      <protection locked="0"/>
    </xf>
    <xf numFmtId="0" fontId="0" fillId="0" borderId="0" xfId="0" applyProtection="1">
      <protection locked="0"/>
    </xf>
    <xf numFmtId="166" fontId="11" fillId="4" borderId="0" xfId="2" applyNumberFormat="1" applyFont="1" applyFill="1" applyProtection="1">
      <protection locked="0"/>
    </xf>
    <xf numFmtId="0" fontId="0" fillId="2" borderId="0" xfId="0" applyFill="1" applyAlignment="1" applyProtection="1">
      <alignment horizontal="center"/>
      <protection locked="0"/>
    </xf>
    <xf numFmtId="0" fontId="15" fillId="2" borderId="0" xfId="0" applyFont="1" applyFill="1"/>
    <xf numFmtId="0" fontId="12" fillId="2" borderId="0" xfId="0" applyFont="1" applyFill="1"/>
    <xf numFmtId="0" fontId="16" fillId="2" borderId="0" xfId="0" applyFont="1" applyFill="1"/>
    <xf numFmtId="0" fontId="17" fillId="2" borderId="0" xfId="0" applyFont="1" applyFill="1"/>
    <xf numFmtId="166" fontId="0" fillId="2" borderId="0" xfId="0" applyNumberFormat="1" applyFill="1" applyProtection="1">
      <protection locked="0"/>
    </xf>
    <xf numFmtId="0" fontId="18" fillId="3" borderId="0" xfId="0" applyFont="1" applyFill="1" applyAlignment="1">
      <alignment horizontal="center"/>
    </xf>
    <xf numFmtId="0" fontId="19" fillId="2" borderId="0" xfId="0" applyFont="1" applyFill="1"/>
    <xf numFmtId="167" fontId="10" fillId="2" borderId="0" xfId="2" applyNumberFormat="1" applyFont="1" applyFill="1" applyProtection="1">
      <protection locked="0"/>
    </xf>
    <xf numFmtId="0" fontId="16" fillId="2" borderId="0" xfId="0" applyFont="1" applyFill="1" applyAlignment="1">
      <alignment wrapText="1"/>
    </xf>
    <xf numFmtId="166" fontId="0" fillId="2" borderId="0" xfId="0" applyNumberFormat="1" applyFill="1"/>
    <xf numFmtId="0" fontId="0" fillId="2" borderId="0" xfId="0" applyFill="1" applyAlignment="1">
      <alignment vertical="center" wrapText="1"/>
    </xf>
    <xf numFmtId="166" fontId="10" fillId="3" borderId="0" xfId="2" applyNumberFormat="1" applyFont="1" applyFill="1" applyAlignment="1" applyProtection="1">
      <alignment vertical="center"/>
    </xf>
    <xf numFmtId="0" fontId="0" fillId="2" borderId="0" xfId="0" applyFill="1" applyAlignment="1" applyProtection="1">
      <alignment vertical="center"/>
      <protection locked="0"/>
    </xf>
    <xf numFmtId="168" fontId="0" fillId="2" borderId="0" xfId="0" applyNumberFormat="1" applyFill="1" applyProtection="1">
      <protection locked="0"/>
    </xf>
    <xf numFmtId="166" fontId="10" fillId="5" borderId="0" xfId="2" applyNumberFormat="1" applyFont="1" applyFill="1" applyAlignment="1" applyProtection="1">
      <alignment horizontal="center" vertical="center"/>
    </xf>
    <xf numFmtId="0" fontId="0" fillId="2" borderId="0" xfId="0" applyFill="1" applyAlignment="1">
      <alignment vertical="center"/>
    </xf>
    <xf numFmtId="0" fontId="20" fillId="2" borderId="0" xfId="0" applyFont="1" applyFill="1"/>
    <xf numFmtId="0" fontId="16" fillId="0" borderId="0" xfId="0" applyFont="1" applyAlignment="1">
      <alignment wrapText="1"/>
    </xf>
    <xf numFmtId="166" fontId="10" fillId="2" borderId="0" xfId="2" applyNumberFormat="1" applyFont="1" applyFill="1" applyBorder="1" applyProtection="1"/>
    <xf numFmtId="0" fontId="21" fillId="2" borderId="0" xfId="0" applyFont="1" applyFill="1"/>
    <xf numFmtId="166" fontId="12" fillId="3" borderId="0" xfId="2" applyNumberFormat="1" applyFont="1" applyFill="1" applyAlignment="1" applyProtection="1"/>
    <xf numFmtId="0" fontId="23" fillId="2" borderId="0" xfId="0" applyFont="1" applyFill="1" applyProtection="1">
      <protection locked="0"/>
    </xf>
    <xf numFmtId="0" fontId="22" fillId="2" borderId="0" xfId="0" applyFont="1" applyFill="1" applyProtection="1">
      <protection locked="0"/>
    </xf>
    <xf numFmtId="0" fontId="24" fillId="2" borderId="0" xfId="0" applyFont="1" applyFill="1" applyProtection="1">
      <protection locked="0"/>
    </xf>
    <xf numFmtId="2" fontId="0" fillId="0" borderId="0" xfId="0" applyNumberFormat="1"/>
    <xf numFmtId="3" fontId="0" fillId="0" borderId="1" xfId="0" applyNumberFormat="1" applyBorder="1"/>
    <xf numFmtId="0" fontId="0" fillId="0" borderId="1" xfId="0" applyBorder="1" applyAlignment="1">
      <alignment horizontal="right"/>
    </xf>
    <xf numFmtId="10" fontId="0" fillId="0" borderId="1" xfId="0" applyNumberFormat="1" applyBorder="1" applyAlignment="1">
      <alignment horizontal="right"/>
    </xf>
    <xf numFmtId="9" fontId="0" fillId="0" borderId="1" xfId="0" applyNumberFormat="1" applyBorder="1" applyAlignment="1">
      <alignment horizontal="right"/>
    </xf>
    <xf numFmtId="0" fontId="12" fillId="5" borderId="1" xfId="0" applyFont="1" applyFill="1" applyBorder="1" applyAlignment="1">
      <alignment horizontal="center"/>
    </xf>
    <xf numFmtId="0" fontId="12" fillId="5" borderId="1" xfId="0" applyFont="1" applyFill="1" applyBorder="1"/>
    <xf numFmtId="0" fontId="16" fillId="2" borderId="0" xfId="0" applyFont="1" applyFill="1" applyAlignment="1">
      <alignment horizontal="center"/>
    </xf>
    <xf numFmtId="4" fontId="0" fillId="0" borderId="1" xfId="0" applyNumberFormat="1" applyBorder="1"/>
    <xf numFmtId="0" fontId="11" fillId="4" borderId="0" xfId="1" applyNumberFormat="1" applyFont="1" applyFill="1" applyProtection="1">
      <protection locked="0"/>
    </xf>
    <xf numFmtId="2" fontId="12" fillId="5" borderId="1" xfId="0" applyNumberFormat="1" applyFont="1" applyFill="1" applyBorder="1"/>
    <xf numFmtId="1" fontId="0" fillId="0" borderId="1" xfId="3" applyNumberFormat="1" applyFont="1" applyBorder="1"/>
    <xf numFmtId="2" fontId="0" fillId="0" borderId="0" xfId="3" applyNumberFormat="1" applyFont="1"/>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2" fontId="0" fillId="2" borderId="1" xfId="0" applyNumberFormat="1" applyFill="1" applyBorder="1"/>
    <xf numFmtId="42" fontId="0" fillId="2" borderId="1" xfId="0" applyNumberFormat="1" applyFill="1" applyBorder="1"/>
    <xf numFmtId="2" fontId="0" fillId="2" borderId="1" xfId="0" applyNumberFormat="1" applyFill="1" applyBorder="1" applyAlignment="1">
      <alignment horizontal="center" vertical="center"/>
    </xf>
    <xf numFmtId="169" fontId="0" fillId="2" borderId="8" xfId="0" applyNumberFormat="1" applyFill="1" applyBorder="1"/>
    <xf numFmtId="170" fontId="0" fillId="2" borderId="10" xfId="0" applyNumberFormat="1" applyFill="1" applyBorder="1"/>
    <xf numFmtId="2" fontId="0" fillId="2" borderId="2" xfId="0" applyNumberFormat="1" applyFill="1" applyBorder="1"/>
    <xf numFmtId="42" fontId="0" fillId="2" borderId="2" xfId="0" applyNumberFormat="1" applyFill="1" applyBorder="1"/>
    <xf numFmtId="2" fontId="0" fillId="2" borderId="2" xfId="0" applyNumberFormat="1" applyFill="1" applyBorder="1" applyAlignment="1">
      <alignment horizontal="center" vertical="center"/>
    </xf>
    <xf numFmtId="2" fontId="0" fillId="2" borderId="10" xfId="0" applyNumberFormat="1" applyFill="1" applyBorder="1"/>
    <xf numFmtId="42" fontId="0" fillId="2" borderId="10" xfId="0" applyNumberFormat="1" applyFill="1" applyBorder="1"/>
    <xf numFmtId="2" fontId="0" fillId="2" borderId="10" xfId="0" applyNumberFormat="1" applyFill="1" applyBorder="1" applyAlignment="1">
      <alignment horizontal="center" vertical="center"/>
    </xf>
    <xf numFmtId="42" fontId="0" fillId="2" borderId="12" xfId="0" applyNumberFormat="1" applyFill="1" applyBorder="1"/>
    <xf numFmtId="2" fontId="0" fillId="2" borderId="13" xfId="0" applyNumberFormat="1" applyFill="1" applyBorder="1" applyAlignment="1">
      <alignment horizontal="center" vertical="center"/>
    </xf>
    <xf numFmtId="166" fontId="10" fillId="3" borderId="0" xfId="2" applyNumberFormat="1" applyFont="1" applyFill="1" applyProtection="1">
      <protection hidden="1"/>
    </xf>
    <xf numFmtId="166" fontId="11" fillId="4" borderId="0" xfId="2" applyNumberFormat="1" applyFont="1" applyFill="1" applyAlignment="1" applyProtection="1">
      <alignment wrapText="1"/>
      <protection locked="0"/>
    </xf>
    <xf numFmtId="166" fontId="12" fillId="3" borderId="0" xfId="2" applyNumberFormat="1" applyFont="1" applyFill="1" applyProtection="1">
      <protection hidden="1"/>
    </xf>
    <xf numFmtId="0" fontId="12" fillId="0" borderId="1" xfId="0" applyFont="1" applyBorder="1"/>
    <xf numFmtId="166" fontId="12" fillId="0" borderId="1" xfId="2" applyNumberFormat="1" applyFont="1" applyBorder="1"/>
    <xf numFmtId="166" fontId="0" fillId="0" borderId="1" xfId="2" applyNumberFormat="1" applyFont="1" applyBorder="1"/>
    <xf numFmtId="166" fontId="0" fillId="0" borderId="1" xfId="0" applyNumberFormat="1" applyBorder="1"/>
    <xf numFmtId="166" fontId="0" fillId="0" borderId="0" xfId="0" applyNumberFormat="1"/>
    <xf numFmtId="42" fontId="28" fillId="11" borderId="1" xfId="5" applyFont="1" applyFill="1" applyBorder="1" applyProtection="1">
      <protection locked="0"/>
    </xf>
    <xf numFmtId="42" fontId="0" fillId="10" borderId="1" xfId="0" applyNumberFormat="1" applyFill="1" applyBorder="1" applyProtection="1">
      <protection locked="0"/>
    </xf>
    <xf numFmtId="3" fontId="0" fillId="0" borderId="0" xfId="0" applyNumberFormat="1"/>
    <xf numFmtId="166" fontId="10" fillId="5" borderId="0" xfId="2" applyNumberFormat="1" applyFont="1" applyFill="1" applyProtection="1"/>
    <xf numFmtId="166" fontId="0" fillId="0" borderId="0" xfId="2" applyNumberFormat="1" applyFont="1"/>
    <xf numFmtId="171" fontId="0" fillId="2" borderId="0" xfId="4" applyNumberFormat="1" applyFont="1" applyFill="1"/>
    <xf numFmtId="0" fontId="31" fillId="0" borderId="0" xfId="0" applyFont="1"/>
    <xf numFmtId="42" fontId="31" fillId="9" borderId="0" xfId="5" applyFont="1" applyFill="1"/>
    <xf numFmtId="0" fontId="32" fillId="8" borderId="0" xfId="0" applyFont="1" applyFill="1" applyAlignment="1">
      <alignment horizontal="center"/>
    </xf>
    <xf numFmtId="0" fontId="32" fillId="7" borderId="8"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9" borderId="1" xfId="0" applyFont="1" applyFill="1" applyBorder="1" applyAlignment="1">
      <alignment horizontal="center" vertical="center"/>
    </xf>
    <xf numFmtId="0" fontId="32" fillId="6" borderId="5" xfId="0" applyFont="1" applyFill="1" applyBorder="1" applyAlignment="1">
      <alignment horizontal="center" vertical="center" wrapText="1"/>
    </xf>
    <xf numFmtId="42" fontId="31" fillId="0" borderId="1" xfId="5" applyFont="1" applyBorder="1"/>
    <xf numFmtId="42" fontId="31" fillId="0" borderId="1" xfId="0" applyNumberFormat="1" applyFont="1" applyBorder="1"/>
    <xf numFmtId="42" fontId="31" fillId="9" borderId="1" xfId="0" applyNumberFormat="1" applyFont="1" applyFill="1" applyBorder="1"/>
    <xf numFmtId="0" fontId="31" fillId="0" borderId="1" xfId="0" applyFont="1" applyBorder="1" applyAlignment="1">
      <alignment horizontal="center" vertical="center"/>
    </xf>
    <xf numFmtId="172" fontId="31" fillId="0" borderId="1" xfId="0" applyNumberFormat="1" applyFont="1" applyBorder="1" applyAlignment="1">
      <alignment horizontal="center" vertical="center"/>
    </xf>
    <xf numFmtId="4" fontId="31" fillId="0" borderId="1" xfId="0" applyNumberFormat="1" applyFont="1" applyBorder="1" applyAlignment="1">
      <alignment horizontal="center" vertical="center"/>
    </xf>
    <xf numFmtId="42" fontId="31" fillId="0" borderId="1" xfId="5" applyFont="1" applyBorder="1" applyAlignment="1">
      <alignment horizontal="center"/>
    </xf>
    <xf numFmtId="2" fontId="31" fillId="2" borderId="1" xfId="0" applyNumberFormat="1" applyFont="1" applyFill="1" applyBorder="1" applyAlignment="1">
      <alignment horizontal="center" vertical="center"/>
    </xf>
    <xf numFmtId="0" fontId="30" fillId="0" borderId="0" xfId="0" applyFont="1" applyAlignment="1">
      <alignment wrapText="1"/>
    </xf>
    <xf numFmtId="0" fontId="17"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4" fillId="2" borderId="0" xfId="0" applyFont="1" applyFill="1" applyAlignment="1" applyProtection="1">
      <alignment horizontal="center"/>
      <protection locked="0"/>
    </xf>
    <xf numFmtId="0" fontId="16" fillId="2" borderId="0" xfId="0" applyFont="1" applyFill="1" applyAlignment="1" applyProtection="1">
      <alignment horizontal="center"/>
      <protection locked="0"/>
    </xf>
    <xf numFmtId="0" fontId="21" fillId="2" borderId="0" xfId="0" applyFont="1" applyFill="1" applyAlignment="1">
      <alignment horizontal="center"/>
    </xf>
    <xf numFmtId="0" fontId="17" fillId="2" borderId="0" xfId="0" applyFont="1" applyFill="1" applyAlignment="1">
      <alignment horizontal="center"/>
    </xf>
    <xf numFmtId="0" fontId="14" fillId="2" borderId="0" xfId="0" applyFont="1" applyFill="1" applyAlignment="1">
      <alignment horizontal="left" wrapText="1"/>
    </xf>
    <xf numFmtId="0" fontId="0" fillId="2" borderId="0" xfId="0" applyFill="1" applyAlignment="1">
      <alignment horizontal="left" wrapText="1"/>
    </xf>
    <xf numFmtId="0" fontId="32" fillId="8" borderId="0" xfId="0" applyFont="1" applyFill="1" applyAlignment="1">
      <alignment horizontal="center"/>
    </xf>
    <xf numFmtId="0" fontId="32" fillId="7" borderId="3"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2" fillId="9" borderId="6"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31" fillId="9" borderId="1" xfId="0" applyFont="1" applyFill="1" applyBorder="1" applyAlignment="1">
      <alignment horizontal="center" wrapText="1"/>
    </xf>
    <xf numFmtId="0" fontId="32" fillId="7" borderId="2"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17" fillId="2" borderId="0" xfId="0" applyFont="1" applyFill="1" applyAlignment="1">
      <alignment horizontal="left"/>
    </xf>
    <xf numFmtId="0" fontId="27" fillId="0" borderId="0" xfId="0" applyFont="1" applyAlignment="1">
      <alignment horizontal="left" vertical="top" wrapText="1"/>
    </xf>
    <xf numFmtId="0" fontId="12" fillId="5" borderId="1" xfId="0" applyFont="1" applyFill="1" applyBorder="1" applyAlignment="1">
      <alignment horizontal="center"/>
    </xf>
    <xf numFmtId="0" fontId="17" fillId="2" borderId="0" xfId="0" applyFont="1" applyFill="1" applyAlignment="1">
      <alignment horizontal="left" wrapText="1"/>
    </xf>
    <xf numFmtId="0" fontId="25" fillId="0" borderId="0" xfId="0" applyFont="1" applyAlignment="1">
      <alignment horizontal="left" vertical="center" wrapText="1"/>
    </xf>
    <xf numFmtId="0" fontId="26" fillId="2" borderId="0" xfId="0" applyFont="1" applyFill="1" applyAlignment="1">
      <alignment horizontal="left" vertical="top"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1" xfId="0" applyBorder="1"/>
    <xf numFmtId="2" fontId="12" fillId="2" borderId="1" xfId="0" applyNumberFormat="1" applyFont="1" applyFill="1" applyBorder="1" applyAlignment="1">
      <alignment horizontal="center" vertical="center" wrapText="1"/>
    </xf>
    <xf numFmtId="2" fontId="12" fillId="2" borderId="8" xfId="0"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2" fontId="12" fillId="2" borderId="2"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29" fillId="11" borderId="0" xfId="0" applyFont="1" applyFill="1" applyAlignment="1">
      <alignment horizontal="center"/>
    </xf>
  </cellXfs>
  <cellStyles count="6">
    <cellStyle name="Millares" xfId="1" builtinId="3"/>
    <cellStyle name="Moneda" xfId="2" builtinId="4"/>
    <cellStyle name="Moneda [0]" xfId="5" builtinId="7"/>
    <cellStyle name="Moneda [0] 2" xfId="3" xr:uid="{5BFC8FF6-2E17-435E-B8FE-99E9C9AE529F}"/>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rbitraje!A1"/><Relationship Id="rId2" Type="http://schemas.openxmlformats.org/officeDocument/2006/relationships/hyperlink" Target="#Conciliaci&#243;n!A1"/><Relationship Id="rId1" Type="http://schemas.openxmlformats.org/officeDocument/2006/relationships/image" Target="../media/image1.jpeg"/><Relationship Id="rId6" Type="http://schemas.openxmlformats.org/officeDocument/2006/relationships/hyperlink" Target="#PRE!A1"/><Relationship Id="rId5" Type="http://schemas.openxmlformats.org/officeDocument/2006/relationships/hyperlink" Target="#'Insolvencia PN no CTE'!A1"/><Relationship Id="rId4" Type="http://schemas.openxmlformats.org/officeDocument/2006/relationships/hyperlink" Target="#'Amigable Composici&#243;n'!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358775</xdr:colOff>
      <xdr:row>0</xdr:row>
      <xdr:rowOff>92075</xdr:rowOff>
    </xdr:from>
    <xdr:to>
      <xdr:col>15</xdr:col>
      <xdr:colOff>130175</xdr:colOff>
      <xdr:row>3</xdr:row>
      <xdr:rowOff>288925</xdr:rowOff>
    </xdr:to>
    <xdr:pic>
      <xdr:nvPicPr>
        <xdr:cNvPr id="1037" name="1 Imagen">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425" y="92075"/>
          <a:ext cx="2667000" cy="153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41275</xdr:colOff>
      <xdr:row>11</xdr:row>
      <xdr:rowOff>85725</xdr:rowOff>
    </xdr:from>
    <xdr:to>
      <xdr:col>8</xdr:col>
      <xdr:colOff>336475</xdr:colOff>
      <xdr:row>15</xdr:row>
      <xdr:rowOff>115725</xdr:rowOff>
    </xdr:to>
    <xdr:sp macro="" textlink="">
      <xdr:nvSpPr>
        <xdr:cNvPr id="3" name="2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1489075" y="3368675"/>
          <a:ext cx="174300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CONCILIACIÓN</a:t>
          </a:r>
        </a:p>
      </xdr:txBody>
    </xdr:sp>
    <xdr:clientData/>
  </xdr:twoCellAnchor>
  <xdr:twoCellAnchor>
    <xdr:from>
      <xdr:col>9</xdr:col>
      <xdr:colOff>107950</xdr:colOff>
      <xdr:row>11</xdr:row>
      <xdr:rowOff>76199</xdr:rowOff>
    </xdr:from>
    <xdr:to>
      <xdr:col>14</xdr:col>
      <xdr:colOff>60250</xdr:colOff>
      <xdr:row>15</xdr:row>
      <xdr:rowOff>106199</xdr:rowOff>
    </xdr:to>
    <xdr:sp macro="" textlink="">
      <xdr:nvSpPr>
        <xdr:cNvPr id="4" name="3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365500" y="3359149"/>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ARBITRAJE</a:t>
          </a:r>
        </a:p>
      </xdr:txBody>
    </xdr:sp>
    <xdr:clientData/>
  </xdr:twoCellAnchor>
  <xdr:twoCellAnchor>
    <xdr:from>
      <xdr:col>2</xdr:col>
      <xdr:colOff>209551</xdr:colOff>
      <xdr:row>0</xdr:row>
      <xdr:rowOff>114300</xdr:rowOff>
    </xdr:from>
    <xdr:to>
      <xdr:col>20</xdr:col>
      <xdr:colOff>234951</xdr:colOff>
      <xdr:row>24</xdr:row>
      <xdr:rowOff>152399</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933451" y="114300"/>
          <a:ext cx="6540500" cy="5714999"/>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14</xdr:col>
      <xdr:colOff>155575</xdr:colOff>
      <xdr:row>11</xdr:row>
      <xdr:rowOff>66676</xdr:rowOff>
    </xdr:from>
    <xdr:to>
      <xdr:col>19</xdr:col>
      <xdr:colOff>107875</xdr:colOff>
      <xdr:row>15</xdr:row>
      <xdr:rowOff>96676</xdr:rowOff>
    </xdr:to>
    <xdr:sp macro="" textlink="">
      <xdr:nvSpPr>
        <xdr:cNvPr id="7" name="3 Rectángulo redondeado">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222875" y="3349626"/>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AMIGABLE COMPOSICIÓN</a:t>
          </a:r>
        </a:p>
      </xdr:txBody>
    </xdr:sp>
    <xdr:clientData/>
  </xdr:twoCellAnchor>
  <xdr:twoCellAnchor>
    <xdr:from>
      <xdr:col>6</xdr:col>
      <xdr:colOff>238125</xdr:colOff>
      <xdr:row>16</xdr:row>
      <xdr:rowOff>158751</xdr:rowOff>
    </xdr:from>
    <xdr:to>
      <xdr:col>11</xdr:col>
      <xdr:colOff>184150</xdr:colOff>
      <xdr:row>21</xdr:row>
      <xdr:rowOff>0</xdr:rowOff>
    </xdr:to>
    <xdr:sp macro="" textlink="">
      <xdr:nvSpPr>
        <xdr:cNvPr id="8" name="3 Rectángulo redondeado">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2409825" y="4362451"/>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INSOLVENCIA PERSONA NATURAL NO COMERCIANTE</a:t>
          </a:r>
        </a:p>
      </xdr:txBody>
    </xdr:sp>
    <xdr:clientData/>
  </xdr:twoCellAnchor>
  <xdr:twoCellAnchor>
    <xdr:from>
      <xdr:col>11</xdr:col>
      <xdr:colOff>358775</xdr:colOff>
      <xdr:row>16</xdr:row>
      <xdr:rowOff>158751</xdr:rowOff>
    </xdr:from>
    <xdr:to>
      <xdr:col>16</xdr:col>
      <xdr:colOff>304800</xdr:colOff>
      <xdr:row>21</xdr:row>
      <xdr:rowOff>0</xdr:rowOff>
    </xdr:to>
    <xdr:sp macro="" textlink="">
      <xdr:nvSpPr>
        <xdr:cNvPr id="2" name="3 Rectángulo redondeado">
          <a:hlinkClick xmlns:r="http://schemas.openxmlformats.org/officeDocument/2006/relationships" r:id="rId6"/>
          <a:extLst>
            <a:ext uri="{FF2B5EF4-FFF2-40B4-BE49-F238E27FC236}">
              <a16:creationId xmlns:a16="http://schemas.microsoft.com/office/drawing/2014/main" id="{E52BD1AF-C3CB-40D6-896C-1BBF1D785891}"/>
            </a:ext>
          </a:extLst>
        </xdr:cNvPr>
        <xdr:cNvSpPr/>
      </xdr:nvSpPr>
      <xdr:spPr>
        <a:xfrm>
          <a:off x="4340225" y="4362451"/>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PROCEDIMIENTO DE RECUPERACIÓN EMPRESARIAL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21590</xdr:rowOff>
    </xdr:to>
    <xdr:pic>
      <xdr:nvPicPr>
        <xdr:cNvPr id="2057" name="1 Imagen">
          <a:extLst>
            <a:ext uri="{FF2B5EF4-FFF2-40B4-BE49-F238E27FC236}">
              <a16:creationId xmlns:a16="http://schemas.microsoft.com/office/drawing/2014/main" id="{00000000-0008-0000-0100-000009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209550</xdr:rowOff>
    </xdr:from>
    <xdr:to>
      <xdr:col>5</xdr:col>
      <xdr:colOff>276225</xdr:colOff>
      <xdr:row>23</xdr:row>
      <xdr:rowOff>114300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52400" y="209550"/>
          <a:ext cx="7019925" cy="4543425"/>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171449</xdr:colOff>
      <xdr:row>11</xdr:row>
      <xdr:rowOff>114300</xdr:rowOff>
    </xdr:from>
    <xdr:to>
      <xdr:col>5</xdr:col>
      <xdr:colOff>123825</xdr:colOff>
      <xdr:row>22</xdr:row>
      <xdr:rowOff>19050</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5210174" y="2276475"/>
          <a:ext cx="1809751" cy="2190750"/>
        </a:xfrm>
        <a:prstGeom prst="round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1050290</xdr:colOff>
      <xdr:row>6</xdr:row>
      <xdr:rowOff>93980</xdr:rowOff>
    </xdr:to>
    <xdr:pic>
      <xdr:nvPicPr>
        <xdr:cNvPr id="2060"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2162175</xdr:colOff>
      <xdr:row>0</xdr:row>
      <xdr:rowOff>133350</xdr:rowOff>
    </xdr:from>
    <xdr:to>
      <xdr:col>2</xdr:col>
      <xdr:colOff>581025</xdr:colOff>
      <xdr:row>5</xdr:row>
      <xdr:rowOff>66675</xdr:rowOff>
    </xdr:to>
    <xdr:pic>
      <xdr:nvPicPr>
        <xdr:cNvPr id="3089" name="1 Imagen">
          <a:extLst>
            <a:ext uri="{FF2B5EF4-FFF2-40B4-BE49-F238E27FC236}">
              <a16:creationId xmlns:a16="http://schemas.microsoft.com/office/drawing/2014/main" id="{00000000-0008-0000-0300-00001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133350"/>
          <a:ext cx="192405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323851</xdr:colOff>
      <xdr:row>0</xdr:row>
      <xdr:rowOff>95249</xdr:rowOff>
    </xdr:from>
    <xdr:to>
      <xdr:col>4</xdr:col>
      <xdr:colOff>114301</xdr:colOff>
      <xdr:row>29</xdr:row>
      <xdr:rowOff>3174</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323851" y="95249"/>
          <a:ext cx="7077075" cy="54991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657225</xdr:colOff>
      <xdr:row>1</xdr:row>
      <xdr:rowOff>161925</xdr:rowOff>
    </xdr:from>
    <xdr:to>
      <xdr:col>3</xdr:col>
      <xdr:colOff>1343025</xdr:colOff>
      <xdr:row>4</xdr:row>
      <xdr:rowOff>219075</xdr:rowOff>
    </xdr:to>
    <xdr:pic>
      <xdr:nvPicPr>
        <xdr:cNvPr id="3091"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300-0000130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4550" y="4667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2114550</xdr:colOff>
      <xdr:row>0</xdr:row>
      <xdr:rowOff>95250</xdr:rowOff>
    </xdr:from>
    <xdr:to>
      <xdr:col>2</xdr:col>
      <xdr:colOff>428625</xdr:colOff>
      <xdr:row>5</xdr:row>
      <xdr:rowOff>47625</xdr:rowOff>
    </xdr:to>
    <xdr:pic>
      <xdr:nvPicPr>
        <xdr:cNvPr id="4105" name="1 Imagen">
          <a:extLst>
            <a:ext uri="{FF2B5EF4-FFF2-40B4-BE49-F238E27FC236}">
              <a16:creationId xmlns:a16="http://schemas.microsoft.com/office/drawing/2014/main" id="{00000000-0008-0000-0500-00000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95250"/>
          <a:ext cx="18573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0</xdr:row>
      <xdr:rowOff>95250</xdr:rowOff>
    </xdr:from>
    <xdr:to>
      <xdr:col>4</xdr:col>
      <xdr:colOff>0</xdr:colOff>
      <xdr:row>23</xdr:row>
      <xdr:rowOff>95250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209550" y="95250"/>
          <a:ext cx="6467475" cy="52006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238125</xdr:colOff>
      <xdr:row>1</xdr:row>
      <xdr:rowOff>38100</xdr:rowOff>
    </xdr:from>
    <xdr:to>
      <xdr:col>3</xdr:col>
      <xdr:colOff>923925</xdr:colOff>
      <xdr:row>4</xdr:row>
      <xdr:rowOff>95250</xdr:rowOff>
    </xdr:to>
    <xdr:pic>
      <xdr:nvPicPr>
        <xdr:cNvPr id="4107"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500-00000B1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43550" y="34290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28575</xdr:rowOff>
    </xdr:to>
    <xdr:pic>
      <xdr:nvPicPr>
        <xdr:cNvPr id="5127" name="1 Imagen">
          <a:extLst>
            <a:ext uri="{FF2B5EF4-FFF2-40B4-BE49-F238E27FC236}">
              <a16:creationId xmlns:a16="http://schemas.microsoft.com/office/drawing/2014/main" id="{00000000-0008-0000-0600-000007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146050</xdr:colOff>
      <xdr:row>24</xdr:row>
      <xdr:rowOff>6350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152399" y="209550"/>
          <a:ext cx="7213601" cy="43053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1057275</xdr:colOff>
      <xdr:row>6</xdr:row>
      <xdr:rowOff>95250</xdr:rowOff>
    </xdr:to>
    <xdr:pic>
      <xdr:nvPicPr>
        <xdr:cNvPr id="5129"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600-0000091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25400</xdr:rowOff>
    </xdr:to>
    <xdr:pic>
      <xdr:nvPicPr>
        <xdr:cNvPr id="2" name="1 Imagen">
          <a:extLst>
            <a:ext uri="{FF2B5EF4-FFF2-40B4-BE49-F238E27FC236}">
              <a16:creationId xmlns:a16="http://schemas.microsoft.com/office/drawing/2014/main" id="{943F7FE6-DFEA-4333-9EF9-4C4F99B5F9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400" y="273050"/>
          <a:ext cx="18669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266700</xdr:colOff>
      <xdr:row>23</xdr:row>
      <xdr:rowOff>133350</xdr:rowOff>
    </xdr:to>
    <xdr:sp macro="" textlink="">
      <xdr:nvSpPr>
        <xdr:cNvPr id="3" name="2 Rectángulo redondeado">
          <a:extLst>
            <a:ext uri="{FF2B5EF4-FFF2-40B4-BE49-F238E27FC236}">
              <a16:creationId xmlns:a16="http://schemas.microsoft.com/office/drawing/2014/main" id="{E1AF3E00-3D3B-483D-B2D4-54C07DFA1F3B}"/>
            </a:ext>
          </a:extLst>
        </xdr:cNvPr>
        <xdr:cNvSpPr/>
      </xdr:nvSpPr>
      <xdr:spPr>
        <a:xfrm>
          <a:off x="152399" y="209550"/>
          <a:ext cx="7016751" cy="42481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1054100</xdr:colOff>
      <xdr:row>6</xdr:row>
      <xdr:rowOff>95250</xdr:rowOff>
    </xdr:to>
    <xdr:pic>
      <xdr:nvPicPr>
        <xdr:cNvPr id="4"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C26117C7-0ED0-4694-9E2B-E968E23B74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16475" y="533400"/>
          <a:ext cx="6826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D1:X11"/>
  <sheetViews>
    <sheetView showGridLines="0" showRowColHeaders="0" tabSelected="1" topLeftCell="A2" zoomScaleNormal="100" workbookViewId="0">
      <selection activeCell="B1" sqref="B1"/>
    </sheetView>
  </sheetViews>
  <sheetFormatPr baseColWidth="10" defaultColWidth="5.1796875" defaultRowHeight="14.5" x14ac:dyDescent="0.35"/>
  <cols>
    <col min="1" max="16384" width="5.1796875" style="1"/>
  </cols>
  <sheetData>
    <row r="1" spans="4:24" ht="35.25" customHeight="1" x14ac:dyDescent="0.35"/>
    <row r="2" spans="4:24" ht="35.25" customHeight="1" x14ac:dyDescent="0.35"/>
    <row r="3" spans="4:24" ht="35.25" customHeight="1" x14ac:dyDescent="0.35"/>
    <row r="4" spans="4:24" ht="26.25" customHeight="1" x14ac:dyDescent="0.35"/>
    <row r="5" spans="4:24" ht="23.5" x14ac:dyDescent="0.55000000000000004">
      <c r="D5" s="94" t="s">
        <v>0</v>
      </c>
      <c r="E5" s="94"/>
      <c r="F5" s="94"/>
      <c r="G5" s="94"/>
      <c r="H5" s="94"/>
      <c r="I5" s="94"/>
      <c r="J5" s="94"/>
      <c r="K5" s="94"/>
      <c r="L5" s="94"/>
      <c r="M5" s="94"/>
      <c r="N5" s="94"/>
      <c r="O5" s="94"/>
      <c r="P5" s="94"/>
      <c r="Q5" s="94"/>
      <c r="R5" s="94"/>
      <c r="S5" s="94"/>
      <c r="T5" s="94"/>
      <c r="U5" s="32"/>
      <c r="V5" s="32"/>
      <c r="W5" s="32"/>
      <c r="X5" s="32"/>
    </row>
    <row r="6" spans="4:24" ht="21" x14ac:dyDescent="0.5">
      <c r="D6" s="95" t="s">
        <v>1</v>
      </c>
      <c r="E6" s="95"/>
      <c r="F6" s="95"/>
      <c r="G6" s="95"/>
      <c r="H6" s="95"/>
      <c r="I6" s="95"/>
      <c r="J6" s="95"/>
      <c r="K6" s="95"/>
      <c r="L6" s="95"/>
      <c r="M6" s="95"/>
      <c r="N6" s="95"/>
      <c r="O6" s="95"/>
      <c r="P6" s="95"/>
      <c r="Q6" s="95"/>
      <c r="R6" s="95"/>
      <c r="S6" s="95"/>
      <c r="T6" s="95"/>
      <c r="U6" s="33"/>
      <c r="V6" s="33"/>
      <c r="W6" s="33"/>
      <c r="X6" s="33"/>
    </row>
    <row r="7" spans="4:24" ht="21" x14ac:dyDescent="0.5">
      <c r="D7" s="96" t="s">
        <v>2</v>
      </c>
      <c r="E7" s="96"/>
      <c r="F7" s="96"/>
      <c r="G7" s="96"/>
      <c r="H7" s="96"/>
      <c r="I7" s="96"/>
      <c r="J7" s="96"/>
      <c r="K7" s="96"/>
      <c r="L7" s="96"/>
      <c r="M7" s="96"/>
      <c r="N7" s="96"/>
      <c r="O7" s="96"/>
      <c r="P7" s="96"/>
      <c r="Q7" s="96"/>
      <c r="R7" s="96"/>
      <c r="S7" s="96"/>
      <c r="T7" s="96"/>
      <c r="U7" s="34"/>
      <c r="V7" s="34"/>
      <c r="W7" s="34"/>
      <c r="X7" s="34"/>
    </row>
    <row r="8" spans="4:24" x14ac:dyDescent="0.35">
      <c r="D8" s="2"/>
      <c r="E8" s="2"/>
      <c r="F8" s="2"/>
      <c r="G8" s="2"/>
      <c r="H8" s="2"/>
      <c r="I8" s="2"/>
      <c r="J8" s="2"/>
      <c r="K8" s="2"/>
      <c r="L8" s="2"/>
      <c r="M8" s="2"/>
      <c r="N8" s="2"/>
      <c r="O8" s="2"/>
      <c r="P8" s="2"/>
      <c r="Q8" s="2"/>
      <c r="R8" s="2"/>
      <c r="S8" s="2"/>
      <c r="T8" s="2"/>
    </row>
    <row r="9" spans="4:24" x14ac:dyDescent="0.35">
      <c r="D9" s="2"/>
      <c r="E9" s="2"/>
      <c r="F9" s="2"/>
      <c r="G9" s="2"/>
      <c r="H9" s="2"/>
      <c r="I9" s="2"/>
      <c r="J9" s="2"/>
      <c r="K9" s="2"/>
      <c r="L9" s="2"/>
      <c r="M9" s="2"/>
      <c r="N9" s="2"/>
      <c r="O9" s="2"/>
      <c r="P9" s="2"/>
      <c r="Q9" s="2"/>
      <c r="R9" s="2"/>
      <c r="S9" s="2"/>
      <c r="T9" s="2"/>
    </row>
    <row r="10" spans="4:24" ht="18.5" x14ac:dyDescent="0.45">
      <c r="D10" s="2"/>
      <c r="E10" s="93" t="s">
        <v>3</v>
      </c>
      <c r="F10" s="93"/>
      <c r="G10" s="93"/>
      <c r="H10" s="93"/>
      <c r="I10" s="93"/>
      <c r="J10" s="93"/>
      <c r="K10" s="93"/>
      <c r="L10" s="93"/>
      <c r="M10" s="93"/>
      <c r="N10" s="93"/>
      <c r="O10" s="93"/>
      <c r="P10" s="93"/>
      <c r="Q10" s="93"/>
      <c r="R10" s="93"/>
      <c r="S10" s="93"/>
      <c r="T10" s="2"/>
    </row>
    <row r="11" spans="4:24" x14ac:dyDescent="0.35">
      <c r="D11" s="2"/>
      <c r="E11" s="2"/>
      <c r="F11" s="2"/>
      <c r="G11" s="2"/>
      <c r="H11" s="2"/>
      <c r="I11" s="2"/>
      <c r="J11" s="2"/>
      <c r="K11" s="2"/>
      <c r="L11" s="2"/>
      <c r="M11" s="2"/>
      <c r="N11" s="2"/>
      <c r="O11" s="2"/>
      <c r="P11" s="2"/>
      <c r="Q11" s="2"/>
      <c r="R11" s="2"/>
      <c r="S11" s="2"/>
      <c r="T11" s="2"/>
    </row>
  </sheetData>
  <sheetProtection algorithmName="SHA-512" hashValue="yiKK4K/m6fTT3Wp7xK4si17dNl5MSjRsNMOFjviloPCbzZSsXOXnwkixtD3q+wnYjR5fJ3H0yWoVry96WouzVw==" saltValue="L9DOTKE2GKDNMrk1wM7emw==" spinCount="100000" sheet="1" selectLockedCells="1" selectUnlockedCells="1"/>
  <mergeCells count="4">
    <mergeCell ref="E10:S10"/>
    <mergeCell ref="D5:T5"/>
    <mergeCell ref="D6:T6"/>
    <mergeCell ref="D7:T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ECAB-8AEF-4451-AB7E-F2F7E9D44200}">
  <dimension ref="A1:E12"/>
  <sheetViews>
    <sheetView showGridLines="0" workbookViewId="0">
      <selection activeCell="B4" sqref="B4"/>
    </sheetView>
  </sheetViews>
  <sheetFormatPr baseColWidth="10" defaultRowHeight="14.5" x14ac:dyDescent="0.35"/>
  <cols>
    <col min="1" max="1" width="12.453125" bestFit="1" customWidth="1"/>
    <col min="2" max="2" width="11.54296875" bestFit="1" customWidth="1"/>
    <col min="3" max="3" width="13.54296875" bestFit="1" customWidth="1"/>
    <col min="4" max="4" width="11.54296875" bestFit="1" customWidth="1"/>
  </cols>
  <sheetData>
    <row r="1" spans="1:5" ht="18.5" x14ac:dyDescent="0.45">
      <c r="A1" s="135" t="s">
        <v>67</v>
      </c>
      <c r="B1" s="135"/>
      <c r="C1" s="135"/>
      <c r="D1" s="135"/>
    </row>
    <row r="3" spans="1:5" x14ac:dyDescent="0.35">
      <c r="A3" s="66" t="s">
        <v>68</v>
      </c>
      <c r="B3" s="67">
        <v>12110</v>
      </c>
    </row>
    <row r="5" spans="1:5" x14ac:dyDescent="0.35">
      <c r="B5" s="40" t="s">
        <v>69</v>
      </c>
      <c r="C5" s="40" t="s">
        <v>70</v>
      </c>
    </row>
    <row r="6" spans="1:5" x14ac:dyDescent="0.35">
      <c r="A6" s="41" t="s">
        <v>71</v>
      </c>
      <c r="B6" s="68">
        <v>300</v>
      </c>
      <c r="C6" s="69">
        <f>+B6*$B$3</f>
        <v>3633000</v>
      </c>
    </row>
    <row r="7" spans="1:5" x14ac:dyDescent="0.35">
      <c r="A7" s="41" t="s">
        <v>72</v>
      </c>
      <c r="B7" s="68">
        <v>17343</v>
      </c>
      <c r="C7" s="69">
        <f>+B7*$B$3</f>
        <v>210023730</v>
      </c>
    </row>
    <row r="11" spans="1:5" x14ac:dyDescent="0.35">
      <c r="E11" s="70"/>
    </row>
    <row r="12" spans="1:5" x14ac:dyDescent="0.35">
      <c r="D12" s="70"/>
    </row>
  </sheetData>
  <sheetProtection algorithmName="SHA-512" hashValue="REJHf+FaQ+8WxSJYZlFq93mw3GIOXsawUaU8mAVRDn5jIFXTqbng2kA2GSQfeAVSd7m4xfySwsnHXTxi4mWfQA==" saltValue="AVsZHh9rzlqO9qcm/AcJ+A==" spinCount="100000" sheet="1" objects="1" scenarios="1"/>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K37"/>
  <sheetViews>
    <sheetView topLeftCell="A3" zoomScaleNormal="100" workbookViewId="0">
      <selection activeCell="C14" sqref="C14"/>
    </sheetView>
  </sheetViews>
  <sheetFormatPr baseColWidth="10" defaultColWidth="11.453125" defaultRowHeight="14.5" x14ac:dyDescent="0.35"/>
  <cols>
    <col min="1" max="1" width="6.1796875" style="2" customWidth="1"/>
    <col min="2" max="2" width="33.81640625" style="2" customWidth="1"/>
    <col min="3" max="3" width="19.453125" style="2" customWidth="1"/>
    <col min="4" max="4" width="4.1796875" style="2" customWidth="1"/>
    <col min="5" max="5" width="23.7265625" style="2" customWidth="1"/>
    <col min="6" max="6" width="11.453125" style="2"/>
    <col min="7" max="7" width="13" style="2" bestFit="1" customWidth="1"/>
    <col min="8" max="8" width="11.453125" style="2"/>
    <col min="9" max="9" width="12.54296875" style="2" bestFit="1" customWidth="1"/>
    <col min="10"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98" t="s">
        <v>4</v>
      </c>
      <c r="C8" s="98"/>
      <c r="D8" s="98"/>
      <c r="E8" s="98"/>
    </row>
    <row r="9" spans="2:7" ht="15" customHeight="1" x14ac:dyDescent="0.45">
      <c r="B9" s="6"/>
      <c r="C9" s="6"/>
    </row>
    <row r="10" spans="2:7" x14ac:dyDescent="0.35">
      <c r="B10" s="11" t="s">
        <v>5</v>
      </c>
      <c r="F10" s="7"/>
    </row>
    <row r="11" spans="2:7" x14ac:dyDescent="0.35">
      <c r="B11" s="7"/>
      <c r="C11" s="8"/>
    </row>
    <row r="12" spans="2:7" x14ac:dyDescent="0.35">
      <c r="B12" s="12" t="s">
        <v>79</v>
      </c>
      <c r="C12" s="5">
        <v>12110</v>
      </c>
    </row>
    <row r="13" spans="2:7" x14ac:dyDescent="0.35">
      <c r="B13" s="1" t="s">
        <v>6</v>
      </c>
      <c r="C13" s="71"/>
      <c r="D13" s="10"/>
      <c r="E13" s="19" t="s">
        <v>7</v>
      </c>
      <c r="G13" s="15"/>
    </row>
    <row r="14" spans="2:7" x14ac:dyDescent="0.35">
      <c r="C14" s="8"/>
      <c r="E14" s="1" t="s">
        <v>8</v>
      </c>
      <c r="G14" s="15"/>
    </row>
    <row r="15" spans="2:7" x14ac:dyDescent="0.35">
      <c r="B15" s="3" t="s">
        <v>9</v>
      </c>
      <c r="C15" s="31">
        <f>IF(C13="",0,IF(C13&lt;'TARIFAS CONCILIACION'!D8,'TARIFAS CONCILIACION'!F7,IF(C13&lt;='TARIFAS CONCILIACION'!E8,'TARIFAS CONCILIACION'!F8,IF(C13&lt;='TARIFAS CONCILIACION'!E9,'TARIFAS CONCILIACION'!F9,IF(C13&lt;='TARIFAS CONCILIACION'!E10,'TARIFAS CONCILIACION'!F10,IF(C13&lt;='TARIFAS CONCILIACION'!E11,'TARIFAS CONCILIACION'!F11,IF(C13&lt;='TARIFAS CONCILIACION'!E12,'TARIFAS CONCILIACION'!F12,IF(C13&lt;='TARIFAS CONCILIACION'!E13,'TARIFAS CONCILIACION'!F13,IF(C13&lt;='TARIFAS CONCILIACION'!E14,'TARIFAS CONCILIACION'!F14,IF(C13&lt;='TARIFAS CONCILIACION'!E15,'TARIFAS CONCILIACION'!F15,IF(C13&lt;='TARIFAS CONCILIACION'!E16,'TARIFAS CONCILIACION'!F16,IF(C13&lt;='TARIFAS CONCILIACION'!E17,'TARIFAS CONCILIACION'!F17,IF(C13&lt;='TARIFAS CONCILIACION'!E18,'TARIFAS CONCILIACION'!F18,IF(C13&lt;='TARIFAS CONCILIACION'!E19,'TARIFAS CONCILIACION'!F19,IF(C13&gt;'TARIFAS CONCILIACION'!E19,'TARIFAS CONCILIACION'!F20,IF(C13*0.0029&lt;=18972160,C13*0.0029,18972160))))))))))))))))</f>
        <v>0</v>
      </c>
      <c r="E15" s="4">
        <f>+C15*0.1</f>
        <v>0</v>
      </c>
    </row>
    <row r="16" spans="2:7" x14ac:dyDescent="0.35">
      <c r="C16" s="8"/>
    </row>
    <row r="17" spans="2:11" ht="29" x14ac:dyDescent="0.35">
      <c r="B17" s="21" t="s">
        <v>10</v>
      </c>
      <c r="C17" s="22">
        <f>+C15*0.45</f>
        <v>0</v>
      </c>
      <c r="D17" s="23"/>
      <c r="E17" s="22">
        <f>+E15*0.45</f>
        <v>0</v>
      </c>
    </row>
    <row r="18" spans="2:11" ht="29" x14ac:dyDescent="0.35">
      <c r="B18" s="21" t="s">
        <v>11</v>
      </c>
      <c r="C18" s="22">
        <f>+C15*0.55</f>
        <v>0</v>
      </c>
      <c r="D18" s="23"/>
      <c r="E18" s="22">
        <f>+E15*0.55</f>
        <v>0</v>
      </c>
      <c r="I18" s="15"/>
      <c r="K18" s="24"/>
    </row>
    <row r="19" spans="2:11" x14ac:dyDescent="0.35">
      <c r="B19" s="1" t="s">
        <v>12</v>
      </c>
      <c r="C19" s="4">
        <f>+C15*0.19</f>
        <v>0</v>
      </c>
      <c r="E19" s="4">
        <f>+E15*0.19</f>
        <v>0</v>
      </c>
    </row>
    <row r="20" spans="2:11" x14ac:dyDescent="0.35">
      <c r="B20" s="1"/>
      <c r="C20" s="8"/>
    </row>
    <row r="21" spans="2:11" x14ac:dyDescent="0.35">
      <c r="B21" s="12" t="s">
        <v>13</v>
      </c>
      <c r="C21" s="5">
        <f>+C17+C18+C19</f>
        <v>0</v>
      </c>
      <c r="D21" s="3"/>
      <c r="E21" s="5">
        <f>+E17+E18+E19</f>
        <v>0</v>
      </c>
    </row>
    <row r="27" spans="2:11" x14ac:dyDescent="0.35">
      <c r="B27" s="13" t="s">
        <v>14</v>
      </c>
    </row>
    <row r="28" spans="2:11" ht="18.5" x14ac:dyDescent="0.45">
      <c r="B28" s="99" t="s">
        <v>15</v>
      </c>
      <c r="C28" s="99"/>
      <c r="D28" s="99"/>
      <c r="E28" s="99"/>
      <c r="F28" s="99"/>
    </row>
    <row r="29" spans="2:11" ht="18.5" x14ac:dyDescent="0.45">
      <c r="B29" s="14" t="s">
        <v>16</v>
      </c>
    </row>
    <row r="31" spans="2:11" ht="15" customHeight="1" x14ac:dyDescent="0.35">
      <c r="B31" s="100" t="s">
        <v>17</v>
      </c>
      <c r="C31" s="101"/>
      <c r="D31" s="101"/>
      <c r="E31" s="101"/>
      <c r="F31" s="101"/>
    </row>
    <row r="32" spans="2:11" x14ac:dyDescent="0.35">
      <c r="B32" s="101"/>
      <c r="C32" s="101"/>
      <c r="D32" s="101"/>
      <c r="E32" s="101"/>
      <c r="F32" s="101"/>
    </row>
    <row r="33" spans="2:6" x14ac:dyDescent="0.35">
      <c r="B33" s="101"/>
      <c r="C33" s="101"/>
      <c r="D33" s="101"/>
      <c r="E33" s="101"/>
      <c r="F33" s="101"/>
    </row>
    <row r="34" spans="2:6" x14ac:dyDescent="0.35">
      <c r="B34" s="101"/>
      <c r="C34" s="101"/>
      <c r="D34" s="101"/>
      <c r="E34" s="101"/>
      <c r="F34" s="101"/>
    </row>
    <row r="35" spans="2:6" x14ac:dyDescent="0.35">
      <c r="B35" s="101"/>
      <c r="C35" s="101"/>
      <c r="D35" s="101"/>
      <c r="E35" s="101"/>
      <c r="F35" s="101"/>
    </row>
    <row r="36" spans="2:6" x14ac:dyDescent="0.35">
      <c r="B36" s="101"/>
      <c r="C36" s="101"/>
      <c r="D36" s="101"/>
      <c r="E36" s="101"/>
      <c r="F36" s="101"/>
    </row>
    <row r="37" spans="2:6" x14ac:dyDescent="0.35">
      <c r="B37" s="101"/>
      <c r="C37" s="101"/>
      <c r="D37" s="101"/>
      <c r="E37" s="101"/>
      <c r="F37" s="101"/>
    </row>
  </sheetData>
  <sheetProtection algorithmName="SHA-512" hashValue="gBEU2F/i5PDkBEgLzy3kyvKNTaVa92xYRnMqsTB04n1qhvkcVzeqKiwH8HF/98P3JknwVVsKv9BBdMBkCCE5mg==" saltValue="5p8luiSSWXttzN4aTPE8uw==" spinCount="100000" sheet="1" objects="1" scenarios="1"/>
  <mergeCells count="4">
    <mergeCell ref="B7:C7"/>
    <mergeCell ref="B8:E8"/>
    <mergeCell ref="B28:F28"/>
    <mergeCell ref="B31:F37"/>
  </mergeCells>
  <pageMargins left="0.7" right="0.7" top="0.75" bottom="0.75" header="0.3" footer="0.3"/>
  <pageSetup scale="89" orientation="landscape" r:id="rId1"/>
  <cellWatches>
    <cellWatch r="C12"/>
    <cellWatch r="D12"/>
    <cellWatch r="E12"/>
    <cellWatch r="C13"/>
    <cellWatch r="D13"/>
    <cellWatch r="E13"/>
    <cellWatch r="C14"/>
    <cellWatch r="D14"/>
    <cellWatch r="E14"/>
    <cellWatch r="C15"/>
    <cellWatch r="D15"/>
    <cellWatch r="E15"/>
    <cellWatch r="C16"/>
    <cellWatch r="D16"/>
    <cellWatch r="E16"/>
    <cellWatch r="C17"/>
    <cellWatch r="D17"/>
    <cellWatch r="E17"/>
    <cellWatch r="C18"/>
    <cellWatch r="D18"/>
    <cellWatch r="E18"/>
    <cellWatch r="C19"/>
    <cellWatch r="D19"/>
    <cellWatch r="E19"/>
    <cellWatch r="C20"/>
    <cellWatch r="D20"/>
    <cellWatch r="E20"/>
    <cellWatch r="C21"/>
    <cellWatch r="D21"/>
    <cellWatch r="E21"/>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FA92-498B-4B2C-9AF3-018969688E0A}">
  <dimension ref="A1:J20"/>
  <sheetViews>
    <sheetView showGridLines="0" topLeftCell="A6" workbookViewId="0">
      <selection activeCell="A18" sqref="A18"/>
    </sheetView>
  </sheetViews>
  <sheetFormatPr baseColWidth="10" defaultColWidth="11.453125" defaultRowHeight="14.5" x14ac:dyDescent="0.35"/>
  <cols>
    <col min="1" max="1" width="19.26953125" customWidth="1"/>
    <col min="2" max="2" width="12.453125" bestFit="1" customWidth="1"/>
    <col min="3" max="3" width="17.54296875" customWidth="1"/>
    <col min="4" max="4" width="17.81640625" bestFit="1" customWidth="1"/>
    <col min="5" max="5" width="20.54296875" bestFit="1" customWidth="1"/>
    <col min="6" max="6" width="16.08984375" bestFit="1" customWidth="1"/>
    <col min="7" max="7" width="17.1796875" customWidth="1"/>
    <col min="8" max="8" width="15.7265625" customWidth="1"/>
  </cols>
  <sheetData>
    <row r="1" spans="1:10" x14ac:dyDescent="0.35">
      <c r="A1" s="77" t="s">
        <v>81</v>
      </c>
      <c r="B1" s="78">
        <v>12110</v>
      </c>
      <c r="C1" s="77"/>
      <c r="D1" s="77"/>
      <c r="E1" s="77"/>
      <c r="F1" s="77"/>
      <c r="G1" s="77"/>
      <c r="H1" s="77"/>
    </row>
    <row r="2" spans="1:10" ht="21.5" x14ac:dyDescent="0.35">
      <c r="A2" s="77"/>
      <c r="B2" s="77"/>
      <c r="C2" s="77"/>
      <c r="D2" s="77"/>
      <c r="E2" s="77"/>
      <c r="F2" s="77"/>
      <c r="G2" s="77"/>
      <c r="H2" s="92" t="s">
        <v>19</v>
      </c>
    </row>
    <row r="3" spans="1:10" x14ac:dyDescent="0.35">
      <c r="A3" s="102" t="s">
        <v>82</v>
      </c>
      <c r="B3" s="102"/>
      <c r="C3" s="102"/>
      <c r="D3" s="102"/>
      <c r="E3" s="102"/>
      <c r="F3" s="102"/>
      <c r="G3" s="79"/>
      <c r="H3" s="111"/>
    </row>
    <row r="4" spans="1:10" x14ac:dyDescent="0.35">
      <c r="A4" s="103" t="s">
        <v>83</v>
      </c>
      <c r="B4" s="104"/>
      <c r="C4" s="112" t="s">
        <v>84</v>
      </c>
      <c r="D4" s="107" t="s">
        <v>73</v>
      </c>
      <c r="E4" s="108"/>
      <c r="F4" s="115" t="s">
        <v>21</v>
      </c>
      <c r="G4" s="115" t="s">
        <v>85</v>
      </c>
      <c r="H4" s="111"/>
    </row>
    <row r="5" spans="1:10" x14ac:dyDescent="0.35">
      <c r="A5" s="105"/>
      <c r="B5" s="106"/>
      <c r="C5" s="113"/>
      <c r="D5" s="109"/>
      <c r="E5" s="110"/>
      <c r="F5" s="116"/>
      <c r="G5" s="116"/>
      <c r="H5" s="111"/>
    </row>
    <row r="6" spans="1:10" ht="26" x14ac:dyDescent="0.35">
      <c r="A6" s="80" t="s">
        <v>22</v>
      </c>
      <c r="B6" s="81" t="s">
        <v>23</v>
      </c>
      <c r="C6" s="114"/>
      <c r="D6" s="82" t="s">
        <v>22</v>
      </c>
      <c r="E6" s="82" t="s">
        <v>23</v>
      </c>
      <c r="F6" s="117"/>
      <c r="G6" s="117"/>
      <c r="H6" s="83" t="s">
        <v>24</v>
      </c>
    </row>
    <row r="7" spans="1:10" ht="18.75" customHeight="1" x14ac:dyDescent="0.35">
      <c r="A7" s="77"/>
      <c r="B7" s="77"/>
      <c r="C7" s="91">
        <v>89.88</v>
      </c>
      <c r="D7" s="84">
        <v>0</v>
      </c>
      <c r="E7" s="84">
        <v>0</v>
      </c>
      <c r="F7" s="85">
        <f t="shared" ref="F7:F20" si="0">C7*$B$1</f>
        <v>1088446.8</v>
      </c>
      <c r="G7" s="85">
        <f>+F7*0.19</f>
        <v>206804.89200000002</v>
      </c>
      <c r="H7" s="86">
        <f>+F7+G7</f>
        <v>1295251.692</v>
      </c>
    </row>
    <row r="8" spans="1:10" x14ac:dyDescent="0.35">
      <c r="A8" s="87">
        <v>0</v>
      </c>
      <c r="B8" s="88">
        <v>862.947</v>
      </c>
      <c r="C8" s="91">
        <v>32.369999999999997</v>
      </c>
      <c r="D8" s="84">
        <v>1</v>
      </c>
      <c r="E8" s="84">
        <f>+ROUND(B8*$B$1,0)</f>
        <v>10450288</v>
      </c>
      <c r="F8" s="85">
        <f>C8*$B$1</f>
        <v>392000.69999999995</v>
      </c>
      <c r="G8" s="85">
        <f t="shared" ref="G8:G20" si="1">+F8*0.19</f>
        <v>74480.132999999987</v>
      </c>
      <c r="H8" s="86">
        <f t="shared" ref="H8:H20" si="2">+F8+G8</f>
        <v>466480.83299999993</v>
      </c>
    </row>
    <row r="9" spans="1:10" x14ac:dyDescent="0.35">
      <c r="A9" s="89">
        <f>+B8</f>
        <v>862.947</v>
      </c>
      <c r="B9" s="88">
        <v>1402.32</v>
      </c>
      <c r="C9" s="91">
        <v>46.73</v>
      </c>
      <c r="D9" s="84">
        <f>+ROUND(A9*$B$1,0)</f>
        <v>10450288</v>
      </c>
      <c r="E9" s="84">
        <f t="shared" ref="E9:E19" si="3">+ROUND(B9*$B$1,0)</f>
        <v>16982095</v>
      </c>
      <c r="F9" s="85">
        <f t="shared" si="0"/>
        <v>565900.29999999993</v>
      </c>
      <c r="G9" s="85">
        <f t="shared" si="1"/>
        <v>107521.05699999999</v>
      </c>
      <c r="H9" s="86">
        <f t="shared" si="2"/>
        <v>673421.35699999996</v>
      </c>
    </row>
    <row r="10" spans="1:10" x14ac:dyDescent="0.35">
      <c r="A10" s="89">
        <f t="shared" ref="A10:A20" si="4">+B9</f>
        <v>1402.32</v>
      </c>
      <c r="B10" s="88">
        <v>1833.79</v>
      </c>
      <c r="C10" s="91">
        <v>54.96</v>
      </c>
      <c r="D10" s="84">
        <f t="shared" ref="D10:D20" si="5">+ROUND(A10*$B$1,0)</f>
        <v>16982095</v>
      </c>
      <c r="E10" s="84">
        <f t="shared" si="3"/>
        <v>22207197</v>
      </c>
      <c r="F10" s="85">
        <f t="shared" si="0"/>
        <v>665565.6</v>
      </c>
      <c r="G10" s="85">
        <f t="shared" si="1"/>
        <v>126457.46399999999</v>
      </c>
      <c r="H10" s="86">
        <f t="shared" si="2"/>
        <v>792023.06400000001</v>
      </c>
    </row>
    <row r="11" spans="1:10" x14ac:dyDescent="0.35">
      <c r="A11" s="89">
        <f t="shared" si="4"/>
        <v>1833.79</v>
      </c>
      <c r="B11" s="88">
        <v>3775.45</v>
      </c>
      <c r="C11" s="91">
        <v>75.53</v>
      </c>
      <c r="D11" s="84">
        <f t="shared" si="5"/>
        <v>22207197</v>
      </c>
      <c r="E11" s="84">
        <f t="shared" si="3"/>
        <v>45720700</v>
      </c>
      <c r="F11" s="85">
        <f t="shared" si="0"/>
        <v>914668.3</v>
      </c>
      <c r="G11" s="85">
        <f t="shared" si="1"/>
        <v>173786.97700000001</v>
      </c>
      <c r="H11" s="86">
        <f t="shared" si="2"/>
        <v>1088455.277</v>
      </c>
    </row>
    <row r="12" spans="1:10" x14ac:dyDescent="0.35">
      <c r="A12" s="89">
        <f t="shared" si="4"/>
        <v>3775.45</v>
      </c>
      <c r="B12" s="88">
        <v>5609.2</v>
      </c>
      <c r="C12" s="91">
        <v>89.88</v>
      </c>
      <c r="D12" s="84">
        <f t="shared" si="5"/>
        <v>45720700</v>
      </c>
      <c r="E12" s="84">
        <f t="shared" si="3"/>
        <v>67927412</v>
      </c>
      <c r="F12" s="85">
        <f t="shared" si="0"/>
        <v>1088446.8</v>
      </c>
      <c r="G12" s="85">
        <f t="shared" si="1"/>
        <v>206804.89200000002</v>
      </c>
      <c r="H12" s="86">
        <f t="shared" si="2"/>
        <v>1295251.692</v>
      </c>
    </row>
    <row r="13" spans="1:10" s="1" customFormat="1" x14ac:dyDescent="0.35">
      <c r="A13" s="89">
        <f t="shared" si="4"/>
        <v>5609.2</v>
      </c>
      <c r="B13" s="88">
        <v>11026.96</v>
      </c>
      <c r="C13" s="91">
        <v>97.309248554913296</v>
      </c>
      <c r="D13" s="84">
        <f t="shared" si="5"/>
        <v>67927412</v>
      </c>
      <c r="E13" s="84">
        <f t="shared" si="3"/>
        <v>133536486</v>
      </c>
      <c r="F13" s="85">
        <f t="shared" si="0"/>
        <v>1178415</v>
      </c>
      <c r="G13" s="85">
        <f t="shared" si="1"/>
        <v>223898.85</v>
      </c>
      <c r="H13" s="86">
        <f t="shared" si="2"/>
        <v>1402313.85</v>
      </c>
      <c r="J13"/>
    </row>
    <row r="14" spans="1:10" x14ac:dyDescent="0.35">
      <c r="A14" s="89">
        <f t="shared" si="4"/>
        <v>11026.96</v>
      </c>
      <c r="B14" s="88">
        <v>33080.82</v>
      </c>
      <c r="C14" s="91">
        <v>129.7456647398844</v>
      </c>
      <c r="D14" s="84">
        <f t="shared" si="5"/>
        <v>133536486</v>
      </c>
      <c r="E14" s="84">
        <f t="shared" si="3"/>
        <v>400608730</v>
      </c>
      <c r="F14" s="85">
        <f t="shared" si="0"/>
        <v>1571220.0000000002</v>
      </c>
      <c r="G14" s="85">
        <f t="shared" si="1"/>
        <v>298531.80000000005</v>
      </c>
      <c r="H14" s="86">
        <f t="shared" si="2"/>
        <v>1869751.8000000003</v>
      </c>
    </row>
    <row r="15" spans="1:10" x14ac:dyDescent="0.35">
      <c r="A15" s="89">
        <f t="shared" si="4"/>
        <v>33080.82</v>
      </c>
      <c r="B15" s="88">
        <v>99242.46</v>
      </c>
      <c r="C15" s="91">
        <v>172.99421965317919</v>
      </c>
      <c r="D15" s="84">
        <f t="shared" si="5"/>
        <v>400608730</v>
      </c>
      <c r="E15" s="84">
        <f t="shared" si="3"/>
        <v>1201826191</v>
      </c>
      <c r="F15" s="85">
        <f t="shared" si="0"/>
        <v>2094960</v>
      </c>
      <c r="G15" s="85">
        <f t="shared" si="1"/>
        <v>398042.4</v>
      </c>
      <c r="H15" s="86">
        <f t="shared" si="2"/>
        <v>2493002.4</v>
      </c>
    </row>
    <row r="16" spans="1:10" x14ac:dyDescent="0.35">
      <c r="A16" s="89">
        <f t="shared" si="4"/>
        <v>99242.46</v>
      </c>
      <c r="B16" s="88">
        <v>297727.38</v>
      </c>
      <c r="C16" s="91">
        <v>432.48554913294799</v>
      </c>
      <c r="D16" s="84">
        <f t="shared" si="5"/>
        <v>1201826191</v>
      </c>
      <c r="E16" s="84">
        <f t="shared" si="3"/>
        <v>3605478572</v>
      </c>
      <c r="F16" s="85">
        <f t="shared" si="0"/>
        <v>5237400</v>
      </c>
      <c r="G16" s="85">
        <f t="shared" si="1"/>
        <v>995106</v>
      </c>
      <c r="H16" s="86">
        <f t="shared" si="2"/>
        <v>6232506</v>
      </c>
    </row>
    <row r="17" spans="1:8" x14ac:dyDescent="0.35">
      <c r="A17" s="89">
        <f t="shared" si="4"/>
        <v>297727.38</v>
      </c>
      <c r="B17" s="88">
        <v>595454.75</v>
      </c>
      <c r="C17" s="91">
        <v>648.72832369942194</v>
      </c>
      <c r="D17" s="84">
        <f t="shared" si="5"/>
        <v>3605478572</v>
      </c>
      <c r="E17" s="84">
        <f t="shared" si="3"/>
        <v>7210957023</v>
      </c>
      <c r="F17" s="85">
        <f t="shared" si="0"/>
        <v>7856100</v>
      </c>
      <c r="G17" s="85">
        <f t="shared" si="1"/>
        <v>1492659</v>
      </c>
      <c r="H17" s="86">
        <f t="shared" si="2"/>
        <v>9348759</v>
      </c>
    </row>
    <row r="18" spans="1:8" x14ac:dyDescent="0.35">
      <c r="A18" s="89">
        <f t="shared" si="4"/>
        <v>595454.75</v>
      </c>
      <c r="B18" s="88">
        <v>864971.1</v>
      </c>
      <c r="C18" s="91">
        <v>864.97109826589599</v>
      </c>
      <c r="D18" s="84">
        <f t="shared" si="5"/>
        <v>7210957023</v>
      </c>
      <c r="E18" s="84">
        <f t="shared" si="3"/>
        <v>10474800021</v>
      </c>
      <c r="F18" s="85">
        <f t="shared" si="0"/>
        <v>10474800</v>
      </c>
      <c r="G18" s="85">
        <f t="shared" si="1"/>
        <v>1990212</v>
      </c>
      <c r="H18" s="86">
        <f t="shared" si="2"/>
        <v>12465012</v>
      </c>
    </row>
    <row r="19" spans="1:8" x14ac:dyDescent="0.35">
      <c r="A19" s="89">
        <f t="shared" si="4"/>
        <v>864971.1</v>
      </c>
      <c r="B19" s="88">
        <v>1081213.8700000001</v>
      </c>
      <c r="C19" s="91">
        <v>1081.21387283237</v>
      </c>
      <c r="D19" s="84">
        <f t="shared" si="5"/>
        <v>10474800021</v>
      </c>
      <c r="E19" s="84">
        <f t="shared" si="3"/>
        <v>13093499966</v>
      </c>
      <c r="F19" s="85">
        <f t="shared" si="0"/>
        <v>13093500.000000002</v>
      </c>
      <c r="G19" s="85">
        <f t="shared" si="1"/>
        <v>2487765.0000000005</v>
      </c>
      <c r="H19" s="86">
        <f t="shared" si="2"/>
        <v>15581265.000000002</v>
      </c>
    </row>
    <row r="20" spans="1:8" x14ac:dyDescent="0.35">
      <c r="A20" s="89">
        <f t="shared" si="4"/>
        <v>1081213.8700000001</v>
      </c>
      <c r="B20" s="88"/>
      <c r="C20" s="91">
        <v>2171.1639537572255</v>
      </c>
      <c r="D20" s="84">
        <f t="shared" si="5"/>
        <v>13093499966</v>
      </c>
      <c r="E20" s="90"/>
      <c r="F20" s="85">
        <f t="shared" si="0"/>
        <v>26292795.48</v>
      </c>
      <c r="G20" s="85">
        <f t="shared" si="1"/>
        <v>4995631.1412000004</v>
      </c>
      <c r="H20" s="86">
        <f t="shared" si="2"/>
        <v>31288426.621200003</v>
      </c>
    </row>
  </sheetData>
  <sheetProtection algorithmName="SHA-512" hashValue="n4d84QMV7RyNHNQU9aEZXKe/nXAHTcD8ptMtpBO80YINxla1wov4oBUhOPLhOIao7XVum83hctUiPZJmGOJ7TA==" saltValue="BVyle5XJ6ZelNe2KvikUTg==" spinCount="100000" sheet="1" objects="1" scenarios="1"/>
  <mergeCells count="7">
    <mergeCell ref="A3:F3"/>
    <mergeCell ref="A4:B5"/>
    <mergeCell ref="D4:E5"/>
    <mergeCell ref="H3:H5"/>
    <mergeCell ref="C4:C6"/>
    <mergeCell ref="F4:F6"/>
    <mergeCell ref="G4: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A77"/>
  <sheetViews>
    <sheetView zoomScale="90" zoomScaleNormal="90" workbookViewId="0">
      <selection activeCell="C11" sqref="C11"/>
    </sheetView>
  </sheetViews>
  <sheetFormatPr baseColWidth="10" defaultColWidth="11.453125" defaultRowHeight="14.5" x14ac:dyDescent="0.35"/>
  <cols>
    <col min="1" max="1" width="8.54296875" style="2" customWidth="1"/>
    <col min="2" max="2" width="52.54296875" style="2" customWidth="1"/>
    <col min="3" max="3" width="20.90625" style="2" bestFit="1" customWidth="1"/>
    <col min="4" max="4" width="25.453125" style="2" customWidth="1"/>
    <col min="5" max="5" width="11.453125" style="2"/>
    <col min="6" max="6" width="15.1796875" style="2" bestFit="1" customWidth="1"/>
    <col min="7" max="7" width="14" style="2" bestFit="1" customWidth="1"/>
    <col min="8" max="8" width="16.7265625" style="2" bestFit="1" customWidth="1"/>
    <col min="9" max="26" width="11.453125" style="2"/>
    <col min="27" max="27" width="2" style="2" hidden="1" customWidth="1"/>
    <col min="28" max="16384" width="11.453125" style="2"/>
  </cols>
  <sheetData>
    <row r="1" spans="1:27" ht="24" customHeight="1" x14ac:dyDescent="0.35">
      <c r="AA1" s="2">
        <v>1</v>
      </c>
    </row>
    <row r="2" spans="1:27" ht="19.5" customHeight="1" x14ac:dyDescent="0.35">
      <c r="A2" s="1"/>
      <c r="B2" s="1"/>
      <c r="C2" s="1"/>
      <c r="D2" s="1"/>
      <c r="AA2" s="2">
        <v>3</v>
      </c>
    </row>
    <row r="3" spans="1:27" x14ac:dyDescent="0.35">
      <c r="A3" s="1"/>
      <c r="B3" s="1"/>
      <c r="C3" s="1"/>
      <c r="D3" s="1"/>
      <c r="AA3" s="2">
        <v>5</v>
      </c>
    </row>
    <row r="4" spans="1:27" x14ac:dyDescent="0.35">
      <c r="A4" s="1"/>
      <c r="B4" s="1"/>
      <c r="C4" s="1"/>
      <c r="D4" s="1"/>
      <c r="AA4" s="2">
        <v>7</v>
      </c>
    </row>
    <row r="5" spans="1:27" ht="19.5" customHeight="1" x14ac:dyDescent="0.35">
      <c r="A5" s="1"/>
      <c r="B5" s="1"/>
      <c r="C5" s="1"/>
      <c r="D5" s="1"/>
    </row>
    <row r="6" spans="1:27" ht="21" x14ac:dyDescent="0.5">
      <c r="A6" s="98" t="s">
        <v>26</v>
      </c>
      <c r="B6" s="98"/>
      <c r="C6" s="98"/>
      <c r="D6" s="98"/>
    </row>
    <row r="7" spans="1:27" x14ac:dyDescent="0.35">
      <c r="A7" s="1"/>
      <c r="B7" s="17" t="s">
        <v>27</v>
      </c>
      <c r="C7" s="1"/>
      <c r="D7" s="1"/>
    </row>
    <row r="8" spans="1:27" x14ac:dyDescent="0.35">
      <c r="A8" s="1"/>
      <c r="B8" s="17"/>
      <c r="C8" s="1"/>
      <c r="D8" s="1"/>
    </row>
    <row r="9" spans="1:27" x14ac:dyDescent="0.35">
      <c r="A9" s="1"/>
      <c r="B9" s="12" t="s">
        <v>74</v>
      </c>
      <c r="C9" s="5">
        <v>1750905</v>
      </c>
      <c r="D9" s="1"/>
    </row>
    <row r="10" spans="1:27" x14ac:dyDescent="0.35">
      <c r="A10" s="1"/>
      <c r="B10" s="12" t="s">
        <v>79</v>
      </c>
      <c r="C10" s="5">
        <v>12110</v>
      </c>
      <c r="D10" s="42"/>
      <c r="F10" s="15"/>
      <c r="H10" s="18"/>
    </row>
    <row r="11" spans="1:27" x14ac:dyDescent="0.35">
      <c r="B11" s="1" t="s">
        <v>6</v>
      </c>
      <c r="C11" s="9"/>
      <c r="D11" s="16" t="str">
        <f>+IF(AND(C11&gt;=1,C11&lt;=400*C9),"MENOR CUANTÍA",IF(C11&gt;400*C9,"MAYOR CUANTÍA",IF(C11="","","CUANTÍA INDETERMINADA*")))</f>
        <v/>
      </c>
      <c r="G11" s="15"/>
    </row>
    <row r="12" spans="1:27" x14ac:dyDescent="0.35">
      <c r="B12" s="1"/>
      <c r="C12"/>
      <c r="D12" s="1"/>
    </row>
    <row r="13" spans="1:27" x14ac:dyDescent="0.35">
      <c r="B13" s="1" t="s">
        <v>28</v>
      </c>
      <c r="C13" s="4">
        <f>IF(C11="",0,IF(D11="MENOR CUANTÍA",C10*'TARIFA ARBITRAJE'!$B$12*1.19,C10*'TARIFA ARBITRAJE'!$B$13*1.19))</f>
        <v>0</v>
      </c>
      <c r="D13" s="20"/>
      <c r="F13" s="15"/>
      <c r="G13" s="15"/>
    </row>
    <row r="14" spans="1:27" x14ac:dyDescent="0.35">
      <c r="B14" s="1"/>
      <c r="C14"/>
      <c r="D14" s="1"/>
    </row>
    <row r="15" spans="1:27" x14ac:dyDescent="0.35">
      <c r="B15" s="1" t="s">
        <v>29</v>
      </c>
      <c r="C15" s="74" t="str">
        <f>IF(C11="","",IF(C11=0,0,IF(C11&lt;Conciliación!G9='TARIFA ARBITRAJE'!D5,8.34*C10,IF(C11&lt;='TARIFA ARBITRAJE'!D6,'TARIFA ARBITRAJE'!E6*C11,IF(C11&lt;='TARIFA ARBITRAJE'!D7,'TARIFA ARBITRAJE'!E7*C11,IF(C11&lt;='TARIFA ARBITRAJE'!D8,'TARIFA ARBITRAJE'!E8*C11,IF(C11&lt;='TARIFA ARBITRAJE'!D9,'TARIFA ARBITRAJE'!E9*C11,IF(C11&lt;='TARIFA ARBITRAJE'!D10,'TARIFA ARBITRAJE'!E10*C11,IF('TARIFA ARBITRAJE'!E10*C11&lt;(1000*C9),'TARIFA ARBITRAJE'!E10*C11,1000*C9)))))))))</f>
        <v/>
      </c>
      <c r="D15" s="76"/>
      <c r="F15" s="15"/>
    </row>
    <row r="16" spans="1:27" x14ac:dyDescent="0.35">
      <c r="B16" s="1" t="s">
        <v>30</v>
      </c>
      <c r="C16" s="44">
        <v>1</v>
      </c>
      <c r="D16" s="1"/>
      <c r="F16" s="15"/>
    </row>
    <row r="17" spans="2:7" x14ac:dyDescent="0.35">
      <c r="B17" s="1" t="s">
        <v>31</v>
      </c>
      <c r="C17" s="4">
        <f>IFERROR(C16*C15,0)</f>
        <v>0</v>
      </c>
      <c r="D17" s="1"/>
      <c r="G17" s="20"/>
    </row>
    <row r="18" spans="2:7" x14ac:dyDescent="0.35">
      <c r="B18" s="1" t="s">
        <v>32</v>
      </c>
      <c r="C18" s="4">
        <f>IF(C16="",0,(C17/C16)/2)</f>
        <v>0</v>
      </c>
      <c r="D18" s="1"/>
    </row>
    <row r="19" spans="2:7" x14ac:dyDescent="0.35">
      <c r="B19" s="1"/>
      <c r="C19"/>
      <c r="D19" s="1"/>
    </row>
    <row r="20" spans="2:7" x14ac:dyDescent="0.35">
      <c r="B20" s="1" t="s">
        <v>33</v>
      </c>
      <c r="C20" s="4">
        <f>+C18*1.19</f>
        <v>0</v>
      </c>
      <c r="D20" s="1"/>
    </row>
    <row r="21" spans="2:7" x14ac:dyDescent="0.35">
      <c r="B21" s="1"/>
      <c r="C21"/>
      <c r="D21" s="1"/>
    </row>
    <row r="22" spans="2:7" x14ac:dyDescent="0.35">
      <c r="B22" s="12" t="s">
        <v>34</v>
      </c>
      <c r="C22" s="5">
        <f>+C17+C18+(C20/1.19)</f>
        <v>0</v>
      </c>
      <c r="D22" s="1"/>
    </row>
    <row r="23" spans="2:7" x14ac:dyDescent="0.35">
      <c r="B23" s="1" t="s">
        <v>35</v>
      </c>
      <c r="C23" s="4">
        <f>+C17*0.19</f>
        <v>0</v>
      </c>
      <c r="D23" s="1"/>
    </row>
    <row r="24" spans="2:7" x14ac:dyDescent="0.35">
      <c r="B24" s="1" t="s">
        <v>36</v>
      </c>
      <c r="C24" s="4">
        <f>+C18*0.19</f>
        <v>0</v>
      </c>
      <c r="D24" s="1"/>
    </row>
    <row r="25" spans="2:7" x14ac:dyDescent="0.35">
      <c r="B25" s="1" t="s">
        <v>37</v>
      </c>
      <c r="C25" s="4">
        <f>(C20/1.19)*0.19</f>
        <v>0</v>
      </c>
      <c r="D25" s="1"/>
    </row>
    <row r="26" spans="2:7" x14ac:dyDescent="0.35">
      <c r="B26" s="1"/>
      <c r="C26" s="20"/>
      <c r="D26" s="1"/>
    </row>
    <row r="27" spans="2:7" x14ac:dyDescent="0.35">
      <c r="B27" s="12" t="s">
        <v>13</v>
      </c>
      <c r="C27" s="5">
        <f>+C22+C23+C24+C25+C13</f>
        <v>0</v>
      </c>
      <c r="D27" s="1"/>
    </row>
    <row r="28" spans="2:7" x14ac:dyDescent="0.35">
      <c r="B28" s="1"/>
      <c r="C28" s="1"/>
      <c r="D28" s="1"/>
    </row>
    <row r="29" spans="2:7" x14ac:dyDescent="0.35">
      <c r="B29" s="1"/>
      <c r="C29" s="1"/>
      <c r="D29" s="1"/>
    </row>
    <row r="31" spans="2:7" x14ac:dyDescent="0.35">
      <c r="B31" s="13" t="s">
        <v>38</v>
      </c>
      <c r="C31" s="1"/>
      <c r="D31" s="1"/>
      <c r="E31" s="1"/>
    </row>
    <row r="32" spans="2:7" ht="18.5" x14ac:dyDescent="0.45">
      <c r="B32" s="118"/>
      <c r="C32" s="118"/>
      <c r="D32" s="118"/>
      <c r="E32" s="118"/>
    </row>
    <row r="33" spans="2:5" ht="15" customHeight="1" x14ac:dyDescent="0.35">
      <c r="B33" s="119" t="s">
        <v>76</v>
      </c>
      <c r="C33" s="119"/>
      <c r="D33" s="119"/>
      <c r="E33" s="119"/>
    </row>
    <row r="34" spans="2:5" ht="15" customHeight="1" x14ac:dyDescent="0.35">
      <c r="B34" s="119"/>
      <c r="C34" s="119"/>
      <c r="D34" s="119"/>
      <c r="E34" s="119"/>
    </row>
    <row r="35" spans="2:5" ht="14.5" customHeight="1" x14ac:dyDescent="0.35">
      <c r="B35" s="119"/>
      <c r="C35" s="119"/>
      <c r="D35" s="119"/>
      <c r="E35" s="119"/>
    </row>
    <row r="36" spans="2:5" ht="14.5" customHeight="1" x14ac:dyDescent="0.35">
      <c r="B36" s="119"/>
      <c r="C36" s="119"/>
      <c r="D36" s="119"/>
      <c r="E36" s="119"/>
    </row>
    <row r="37" spans="2:5" ht="14.5" customHeight="1" x14ac:dyDescent="0.35">
      <c r="B37" s="119"/>
      <c r="C37" s="119"/>
      <c r="D37" s="119"/>
      <c r="E37" s="119"/>
    </row>
    <row r="38" spans="2:5" ht="15" customHeight="1" x14ac:dyDescent="0.35">
      <c r="B38" s="119"/>
      <c r="C38" s="119"/>
      <c r="D38" s="119"/>
      <c r="E38" s="119"/>
    </row>
    <row r="39" spans="2:5" ht="14.5" customHeight="1" x14ac:dyDescent="0.35">
      <c r="B39" s="119"/>
      <c r="C39" s="119"/>
      <c r="D39" s="119"/>
      <c r="E39" s="119"/>
    </row>
    <row r="40" spans="2:5" ht="14.5" customHeight="1" x14ac:dyDescent="0.35">
      <c r="B40" s="119"/>
      <c r="C40" s="119"/>
      <c r="D40" s="119"/>
      <c r="E40" s="119"/>
    </row>
    <row r="41" spans="2:5" ht="14.5" customHeight="1" x14ac:dyDescent="0.35">
      <c r="B41" s="119"/>
      <c r="C41" s="119"/>
      <c r="D41" s="119"/>
      <c r="E41" s="119"/>
    </row>
    <row r="42" spans="2:5" ht="14.5" customHeight="1" x14ac:dyDescent="0.35">
      <c r="B42" s="119"/>
      <c r="C42" s="119"/>
      <c r="D42" s="119"/>
      <c r="E42" s="119"/>
    </row>
    <row r="43" spans="2:5" ht="15" customHeight="1" x14ac:dyDescent="0.35">
      <c r="B43" s="119"/>
      <c r="C43" s="119"/>
      <c r="D43" s="119"/>
      <c r="E43" s="119"/>
    </row>
    <row r="44" spans="2:5" ht="14.5" customHeight="1" x14ac:dyDescent="0.35">
      <c r="B44" s="119"/>
      <c r="C44" s="119"/>
      <c r="D44" s="119"/>
      <c r="E44" s="119"/>
    </row>
    <row r="45" spans="2:5" ht="15" customHeight="1" x14ac:dyDescent="0.35">
      <c r="B45" s="119"/>
      <c r="C45" s="119"/>
      <c r="D45" s="119"/>
      <c r="E45" s="119"/>
    </row>
    <row r="46" spans="2:5" ht="14.5" customHeight="1" x14ac:dyDescent="0.35">
      <c r="B46" s="119"/>
      <c r="C46" s="119"/>
      <c r="D46" s="119"/>
      <c r="E46" s="119"/>
    </row>
    <row r="47" spans="2:5" ht="14.5" customHeight="1" x14ac:dyDescent="0.35">
      <c r="B47" s="119"/>
      <c r="C47" s="119"/>
      <c r="D47" s="119"/>
      <c r="E47" s="119"/>
    </row>
    <row r="48" spans="2:5" ht="14.5" customHeight="1" x14ac:dyDescent="0.35">
      <c r="B48" s="119"/>
      <c r="C48" s="119"/>
      <c r="D48" s="119"/>
      <c r="E48" s="119"/>
    </row>
    <row r="49" spans="2:5" ht="14.5" customHeight="1" x14ac:dyDescent="0.35">
      <c r="B49" s="119"/>
      <c r="C49" s="119"/>
      <c r="D49" s="119"/>
      <c r="E49" s="119"/>
    </row>
    <row r="50" spans="2:5" ht="14.5" customHeight="1" x14ac:dyDescent="0.35">
      <c r="B50" s="119"/>
      <c r="C50" s="119"/>
      <c r="D50" s="119"/>
      <c r="E50" s="119"/>
    </row>
    <row r="51" spans="2:5" ht="14.5" customHeight="1" x14ac:dyDescent="0.35">
      <c r="B51" s="119"/>
      <c r="C51" s="119"/>
      <c r="D51" s="119"/>
      <c r="E51" s="119"/>
    </row>
    <row r="52" spans="2:5" ht="14.5" customHeight="1" x14ac:dyDescent="0.35">
      <c r="B52" s="119"/>
      <c r="C52" s="119"/>
      <c r="D52" s="119"/>
      <c r="E52" s="119"/>
    </row>
    <row r="53" spans="2:5" ht="14.5" customHeight="1" x14ac:dyDescent="0.35">
      <c r="B53" s="119"/>
      <c r="C53" s="119"/>
      <c r="D53" s="119"/>
      <c r="E53" s="119"/>
    </row>
    <row r="54" spans="2:5" ht="14.5" customHeight="1" x14ac:dyDescent="0.35">
      <c r="B54" s="119"/>
      <c r="C54" s="119"/>
      <c r="D54" s="119"/>
      <c r="E54" s="119"/>
    </row>
    <row r="55" spans="2:5" ht="14.5" customHeight="1" x14ac:dyDescent="0.35">
      <c r="B55" s="119"/>
      <c r="C55" s="119"/>
      <c r="D55" s="119"/>
      <c r="E55" s="119"/>
    </row>
    <row r="56" spans="2:5" ht="14.5" customHeight="1" x14ac:dyDescent="0.35">
      <c r="B56" s="119"/>
      <c r="C56" s="119"/>
      <c r="D56" s="119"/>
      <c r="E56" s="119"/>
    </row>
    <row r="57" spans="2:5" ht="14.5" customHeight="1" x14ac:dyDescent="0.35">
      <c r="B57" s="119"/>
      <c r="C57" s="119"/>
      <c r="D57" s="119"/>
      <c r="E57" s="119"/>
    </row>
    <row r="58" spans="2:5" ht="14.5" customHeight="1" x14ac:dyDescent="0.35">
      <c r="B58" s="119"/>
      <c r="C58" s="119"/>
      <c r="D58" s="119"/>
      <c r="E58" s="119"/>
    </row>
    <row r="59" spans="2:5" x14ac:dyDescent="0.35">
      <c r="B59" s="119"/>
      <c r="C59" s="119"/>
      <c r="D59" s="119"/>
      <c r="E59" s="119"/>
    </row>
    <row r="60" spans="2:5" x14ac:dyDescent="0.35">
      <c r="B60" s="119"/>
      <c r="C60" s="119"/>
      <c r="D60" s="119"/>
      <c r="E60" s="119"/>
    </row>
    <row r="61" spans="2:5" x14ac:dyDescent="0.35">
      <c r="B61" s="119"/>
      <c r="C61" s="119"/>
      <c r="D61" s="119"/>
      <c r="E61" s="119"/>
    </row>
    <row r="62" spans="2:5" x14ac:dyDescent="0.35">
      <c r="B62" s="119"/>
      <c r="C62" s="119"/>
      <c r="D62" s="119"/>
      <c r="E62" s="119"/>
    </row>
    <row r="63" spans="2:5" x14ac:dyDescent="0.35">
      <c r="B63" s="119"/>
      <c r="C63" s="119"/>
      <c r="D63" s="119"/>
      <c r="E63" s="119"/>
    </row>
    <row r="64" spans="2:5" x14ac:dyDescent="0.35">
      <c r="B64" s="119"/>
      <c r="C64" s="119"/>
      <c r="D64" s="119"/>
      <c r="E64" s="119"/>
    </row>
    <row r="65" spans="2:5" x14ac:dyDescent="0.35">
      <c r="B65" s="1"/>
      <c r="C65" s="1"/>
      <c r="D65" s="1"/>
      <c r="E65" s="1"/>
    </row>
    <row r="66" spans="2:5" x14ac:dyDescent="0.35">
      <c r="B66" s="1"/>
      <c r="C66" s="1"/>
      <c r="D66" s="1"/>
      <c r="E66" s="1"/>
    </row>
    <row r="67" spans="2:5" x14ac:dyDescent="0.35">
      <c r="B67" s="1"/>
      <c r="C67" s="1"/>
      <c r="D67" s="1"/>
      <c r="E67" s="1"/>
    </row>
    <row r="68" spans="2:5" x14ac:dyDescent="0.35">
      <c r="B68" s="1"/>
      <c r="C68" s="1"/>
      <c r="D68" s="1"/>
      <c r="E68" s="1"/>
    </row>
    <row r="69" spans="2:5" x14ac:dyDescent="0.35">
      <c r="B69" s="1"/>
      <c r="C69" s="1"/>
      <c r="D69" s="1"/>
      <c r="E69" s="1"/>
    </row>
    <row r="70" spans="2:5" x14ac:dyDescent="0.35">
      <c r="B70" s="1"/>
      <c r="C70" s="1"/>
      <c r="D70" s="1"/>
      <c r="E70" s="1"/>
    </row>
    <row r="71" spans="2:5" x14ac:dyDescent="0.35">
      <c r="B71" s="1"/>
      <c r="C71" s="1"/>
      <c r="D71" s="1"/>
      <c r="E71" s="1"/>
    </row>
    <row r="72" spans="2:5" x14ac:dyDescent="0.35">
      <c r="B72" s="1"/>
      <c r="C72" s="1"/>
      <c r="D72" s="1"/>
      <c r="E72" s="1"/>
    </row>
    <row r="73" spans="2:5" x14ac:dyDescent="0.35">
      <c r="B73" s="1"/>
      <c r="C73" s="1"/>
      <c r="D73" s="1"/>
      <c r="E73" s="1"/>
    </row>
    <row r="74" spans="2:5" x14ac:dyDescent="0.35">
      <c r="B74" s="1"/>
      <c r="C74" s="1"/>
      <c r="D74" s="1"/>
      <c r="E74" s="1"/>
    </row>
    <row r="75" spans="2:5" x14ac:dyDescent="0.35">
      <c r="B75" s="1"/>
      <c r="C75" s="1"/>
      <c r="D75" s="1"/>
      <c r="E75" s="1"/>
    </row>
    <row r="76" spans="2:5" x14ac:dyDescent="0.35">
      <c r="B76" s="1"/>
      <c r="C76" s="1"/>
      <c r="D76" s="1"/>
      <c r="E76" s="1"/>
    </row>
    <row r="77" spans="2:5" x14ac:dyDescent="0.35">
      <c r="B77" s="1"/>
      <c r="C77" s="1"/>
      <c r="D77" s="1"/>
      <c r="E77" s="1"/>
    </row>
  </sheetData>
  <sheetProtection algorithmName="SHA-512" hashValue="kGqyi7SUCjaR7+Ge9nqqljjCvPpLHrStoBVyJKb4MmfxeSt4EqMt7GfRGllufUrrHs7A7st9rlpGWp03YEo+VA==" saltValue="6lpp1qcIZVwAbvatO+4y7w==" spinCount="100000" sheet="1" objects="1" scenarios="1"/>
  <mergeCells count="3">
    <mergeCell ref="A6:D6"/>
    <mergeCell ref="B32:E32"/>
    <mergeCell ref="B33:E64"/>
  </mergeCells>
  <dataValidations count="1">
    <dataValidation type="list" allowBlank="1" showInputMessage="1" showErrorMessage="1" errorTitle="Número errado" error="El número de árbitros debe ser impar." sqref="C16" xr:uid="{00000000-0002-0000-0300-000000000000}">
      <formula1>$AA$1:$AA$3</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F16"/>
  <sheetViews>
    <sheetView showGridLines="0" topLeftCell="A7" workbookViewId="0">
      <selection activeCell="A16" sqref="A16"/>
    </sheetView>
  </sheetViews>
  <sheetFormatPr baseColWidth="10" defaultColWidth="11.453125" defaultRowHeight="14.5" x14ac:dyDescent="0.35"/>
  <cols>
    <col min="1" max="1" width="13" bestFit="1" customWidth="1"/>
    <col min="2" max="2" width="9.81640625" bestFit="1" customWidth="1"/>
    <col min="3" max="3" width="14.81640625" bestFit="1" customWidth="1"/>
    <col min="4" max="4" width="15.1796875" bestFit="1" customWidth="1"/>
    <col min="5" max="5" width="12.54296875" bestFit="1" customWidth="1"/>
    <col min="6" max="6" width="17.81640625" customWidth="1"/>
    <col min="257" max="258" width="12" bestFit="1" customWidth="1"/>
    <col min="260" max="261" width="15.54296875" bestFit="1" customWidth="1"/>
    <col min="262" max="262" width="17.81640625" customWidth="1"/>
    <col min="513" max="514" width="12" bestFit="1" customWidth="1"/>
    <col min="516" max="517" width="15.54296875" bestFit="1" customWidth="1"/>
    <col min="518" max="518" width="17.81640625" customWidth="1"/>
    <col min="769" max="770" width="12" bestFit="1" customWidth="1"/>
    <col min="772" max="773" width="15.54296875" bestFit="1" customWidth="1"/>
    <col min="774" max="774" width="17.81640625" customWidth="1"/>
    <col min="1025" max="1026" width="12" bestFit="1" customWidth="1"/>
    <col min="1028" max="1029" width="15.54296875" bestFit="1" customWidth="1"/>
    <col min="1030" max="1030" width="17.81640625" customWidth="1"/>
    <col min="1281" max="1282" width="12" bestFit="1" customWidth="1"/>
    <col min="1284" max="1285" width="15.54296875" bestFit="1" customWidth="1"/>
    <col min="1286" max="1286" width="17.81640625" customWidth="1"/>
    <col min="1537" max="1538" width="12" bestFit="1" customWidth="1"/>
    <col min="1540" max="1541" width="15.54296875" bestFit="1" customWidth="1"/>
    <col min="1542" max="1542" width="17.81640625" customWidth="1"/>
    <col min="1793" max="1794" width="12" bestFit="1" customWidth="1"/>
    <col min="1796" max="1797" width="15.54296875" bestFit="1" customWidth="1"/>
    <col min="1798" max="1798" width="17.81640625" customWidth="1"/>
    <col min="2049" max="2050" width="12" bestFit="1" customWidth="1"/>
    <col min="2052" max="2053" width="15.54296875" bestFit="1" customWidth="1"/>
    <col min="2054" max="2054" width="17.81640625" customWidth="1"/>
    <col min="2305" max="2306" width="12" bestFit="1" customWidth="1"/>
    <col min="2308" max="2309" width="15.54296875" bestFit="1" customWidth="1"/>
    <col min="2310" max="2310" width="17.81640625" customWidth="1"/>
    <col min="2561" max="2562" width="12" bestFit="1" customWidth="1"/>
    <col min="2564" max="2565" width="15.54296875" bestFit="1" customWidth="1"/>
    <col min="2566" max="2566" width="17.81640625" customWidth="1"/>
    <col min="2817" max="2818" width="12" bestFit="1" customWidth="1"/>
    <col min="2820" max="2821" width="15.54296875" bestFit="1" customWidth="1"/>
    <col min="2822" max="2822" width="17.81640625" customWidth="1"/>
    <col min="3073" max="3074" width="12" bestFit="1" customWidth="1"/>
    <col min="3076" max="3077" width="15.54296875" bestFit="1" customWidth="1"/>
    <col min="3078" max="3078" width="17.81640625" customWidth="1"/>
    <col min="3329" max="3330" width="12" bestFit="1" customWidth="1"/>
    <col min="3332" max="3333" width="15.54296875" bestFit="1" customWidth="1"/>
    <col min="3334" max="3334" width="17.81640625" customWidth="1"/>
    <col min="3585" max="3586" width="12" bestFit="1" customWidth="1"/>
    <col min="3588" max="3589" width="15.54296875" bestFit="1" customWidth="1"/>
    <col min="3590" max="3590" width="17.81640625" customWidth="1"/>
    <col min="3841" max="3842" width="12" bestFit="1" customWidth="1"/>
    <col min="3844" max="3845" width="15.54296875" bestFit="1" customWidth="1"/>
    <col min="3846" max="3846" width="17.81640625" customWidth="1"/>
    <col min="4097" max="4098" width="12" bestFit="1" customWidth="1"/>
    <col min="4100" max="4101" width="15.54296875" bestFit="1" customWidth="1"/>
    <col min="4102" max="4102" width="17.81640625" customWidth="1"/>
    <col min="4353" max="4354" width="12" bestFit="1" customWidth="1"/>
    <col min="4356" max="4357" width="15.54296875" bestFit="1" customWidth="1"/>
    <col min="4358" max="4358" width="17.81640625" customWidth="1"/>
    <col min="4609" max="4610" width="12" bestFit="1" customWidth="1"/>
    <col min="4612" max="4613" width="15.54296875" bestFit="1" customWidth="1"/>
    <col min="4614" max="4614" width="17.81640625" customWidth="1"/>
    <col min="4865" max="4866" width="12" bestFit="1" customWidth="1"/>
    <col min="4868" max="4869" width="15.54296875" bestFit="1" customWidth="1"/>
    <col min="4870" max="4870" width="17.81640625" customWidth="1"/>
    <col min="5121" max="5122" width="12" bestFit="1" customWidth="1"/>
    <col min="5124" max="5125" width="15.54296875" bestFit="1" customWidth="1"/>
    <col min="5126" max="5126" width="17.81640625" customWidth="1"/>
    <col min="5377" max="5378" width="12" bestFit="1" customWidth="1"/>
    <col min="5380" max="5381" width="15.54296875" bestFit="1" customWidth="1"/>
    <col min="5382" max="5382" width="17.81640625" customWidth="1"/>
    <col min="5633" max="5634" width="12" bestFit="1" customWidth="1"/>
    <col min="5636" max="5637" width="15.54296875" bestFit="1" customWidth="1"/>
    <col min="5638" max="5638" width="17.81640625" customWidth="1"/>
    <col min="5889" max="5890" width="12" bestFit="1" customWidth="1"/>
    <col min="5892" max="5893" width="15.54296875" bestFit="1" customWidth="1"/>
    <col min="5894" max="5894" width="17.81640625" customWidth="1"/>
    <col min="6145" max="6146" width="12" bestFit="1" customWidth="1"/>
    <col min="6148" max="6149" width="15.54296875" bestFit="1" customWidth="1"/>
    <col min="6150" max="6150" width="17.81640625" customWidth="1"/>
    <col min="6401" max="6402" width="12" bestFit="1" customWidth="1"/>
    <col min="6404" max="6405" width="15.54296875" bestFit="1" customWidth="1"/>
    <col min="6406" max="6406" width="17.81640625" customWidth="1"/>
    <col min="6657" max="6658" width="12" bestFit="1" customWidth="1"/>
    <col min="6660" max="6661" width="15.54296875" bestFit="1" customWidth="1"/>
    <col min="6662" max="6662" width="17.81640625" customWidth="1"/>
    <col min="6913" max="6914" width="12" bestFit="1" customWidth="1"/>
    <col min="6916" max="6917" width="15.54296875" bestFit="1" customWidth="1"/>
    <col min="6918" max="6918" width="17.81640625" customWidth="1"/>
    <col min="7169" max="7170" width="12" bestFit="1" customWidth="1"/>
    <col min="7172" max="7173" width="15.54296875" bestFit="1" customWidth="1"/>
    <col min="7174" max="7174" width="17.81640625" customWidth="1"/>
    <col min="7425" max="7426" width="12" bestFit="1" customWidth="1"/>
    <col min="7428" max="7429" width="15.54296875" bestFit="1" customWidth="1"/>
    <col min="7430" max="7430" width="17.81640625" customWidth="1"/>
    <col min="7681" max="7682" width="12" bestFit="1" customWidth="1"/>
    <col min="7684" max="7685" width="15.54296875" bestFit="1" customWidth="1"/>
    <col min="7686" max="7686" width="17.81640625" customWidth="1"/>
    <col min="7937" max="7938" width="12" bestFit="1" customWidth="1"/>
    <col min="7940" max="7941" width="15.54296875" bestFit="1" customWidth="1"/>
    <col min="7942" max="7942" width="17.81640625" customWidth="1"/>
    <col min="8193" max="8194" width="12" bestFit="1" customWidth="1"/>
    <col min="8196" max="8197" width="15.54296875" bestFit="1" customWidth="1"/>
    <col min="8198" max="8198" width="17.81640625" customWidth="1"/>
    <col min="8449" max="8450" width="12" bestFit="1" customWidth="1"/>
    <col min="8452" max="8453" width="15.54296875" bestFit="1" customWidth="1"/>
    <col min="8454" max="8454" width="17.81640625" customWidth="1"/>
    <col min="8705" max="8706" width="12" bestFit="1" customWidth="1"/>
    <col min="8708" max="8709" width="15.54296875" bestFit="1" customWidth="1"/>
    <col min="8710" max="8710" width="17.81640625" customWidth="1"/>
    <col min="8961" max="8962" width="12" bestFit="1" customWidth="1"/>
    <col min="8964" max="8965" width="15.54296875" bestFit="1" customWidth="1"/>
    <col min="8966" max="8966" width="17.81640625" customWidth="1"/>
    <col min="9217" max="9218" width="12" bestFit="1" customWidth="1"/>
    <col min="9220" max="9221" width="15.54296875" bestFit="1" customWidth="1"/>
    <col min="9222" max="9222" width="17.81640625" customWidth="1"/>
    <col min="9473" max="9474" width="12" bestFit="1" customWidth="1"/>
    <col min="9476" max="9477" width="15.54296875" bestFit="1" customWidth="1"/>
    <col min="9478" max="9478" width="17.81640625" customWidth="1"/>
    <col min="9729" max="9730" width="12" bestFit="1" customWidth="1"/>
    <col min="9732" max="9733" width="15.54296875" bestFit="1" customWidth="1"/>
    <col min="9734" max="9734" width="17.81640625" customWidth="1"/>
    <col min="9985" max="9986" width="12" bestFit="1" customWidth="1"/>
    <col min="9988" max="9989" width="15.54296875" bestFit="1" customWidth="1"/>
    <col min="9990" max="9990" width="17.81640625" customWidth="1"/>
    <col min="10241" max="10242" width="12" bestFit="1" customWidth="1"/>
    <col min="10244" max="10245" width="15.54296875" bestFit="1" customWidth="1"/>
    <col min="10246" max="10246" width="17.81640625" customWidth="1"/>
    <col min="10497" max="10498" width="12" bestFit="1" customWidth="1"/>
    <col min="10500" max="10501" width="15.54296875" bestFit="1" customWidth="1"/>
    <col min="10502" max="10502" width="17.81640625" customWidth="1"/>
    <col min="10753" max="10754" width="12" bestFit="1" customWidth="1"/>
    <col min="10756" max="10757" width="15.54296875" bestFit="1" customWidth="1"/>
    <col min="10758" max="10758" width="17.81640625" customWidth="1"/>
    <col min="11009" max="11010" width="12" bestFit="1" customWidth="1"/>
    <col min="11012" max="11013" width="15.54296875" bestFit="1" customWidth="1"/>
    <col min="11014" max="11014" width="17.81640625" customWidth="1"/>
    <col min="11265" max="11266" width="12" bestFit="1" customWidth="1"/>
    <col min="11268" max="11269" width="15.54296875" bestFit="1" customWidth="1"/>
    <col min="11270" max="11270" width="17.81640625" customWidth="1"/>
    <col min="11521" max="11522" width="12" bestFit="1" customWidth="1"/>
    <col min="11524" max="11525" width="15.54296875" bestFit="1" customWidth="1"/>
    <col min="11526" max="11526" width="17.81640625" customWidth="1"/>
    <col min="11777" max="11778" width="12" bestFit="1" customWidth="1"/>
    <col min="11780" max="11781" width="15.54296875" bestFit="1" customWidth="1"/>
    <col min="11782" max="11782" width="17.81640625" customWidth="1"/>
    <col min="12033" max="12034" width="12" bestFit="1" customWidth="1"/>
    <col min="12036" max="12037" width="15.54296875" bestFit="1" customWidth="1"/>
    <col min="12038" max="12038" width="17.81640625" customWidth="1"/>
    <col min="12289" max="12290" width="12" bestFit="1" customWidth="1"/>
    <col min="12292" max="12293" width="15.54296875" bestFit="1" customWidth="1"/>
    <col min="12294" max="12294" width="17.81640625" customWidth="1"/>
    <col min="12545" max="12546" width="12" bestFit="1" customWidth="1"/>
    <col min="12548" max="12549" width="15.54296875" bestFit="1" customWidth="1"/>
    <col min="12550" max="12550" width="17.81640625" customWidth="1"/>
    <col min="12801" max="12802" width="12" bestFit="1" customWidth="1"/>
    <col min="12804" max="12805" width="15.54296875" bestFit="1" customWidth="1"/>
    <col min="12806" max="12806" width="17.81640625" customWidth="1"/>
    <col min="13057" max="13058" width="12" bestFit="1" customWidth="1"/>
    <col min="13060" max="13061" width="15.54296875" bestFit="1" customWidth="1"/>
    <col min="13062" max="13062" width="17.81640625" customWidth="1"/>
    <col min="13313" max="13314" width="12" bestFit="1" customWidth="1"/>
    <col min="13316" max="13317" width="15.54296875" bestFit="1" customWidth="1"/>
    <col min="13318" max="13318" width="17.81640625" customWidth="1"/>
    <col min="13569" max="13570" width="12" bestFit="1" customWidth="1"/>
    <col min="13572" max="13573" width="15.54296875" bestFit="1" customWidth="1"/>
    <col min="13574" max="13574" width="17.81640625" customWidth="1"/>
    <col min="13825" max="13826" width="12" bestFit="1" customWidth="1"/>
    <col min="13828" max="13829" width="15.54296875" bestFit="1" customWidth="1"/>
    <col min="13830" max="13830" width="17.81640625" customWidth="1"/>
    <col min="14081" max="14082" width="12" bestFit="1" customWidth="1"/>
    <col min="14084" max="14085" width="15.54296875" bestFit="1" customWidth="1"/>
    <col min="14086" max="14086" width="17.81640625" customWidth="1"/>
    <col min="14337" max="14338" width="12" bestFit="1" customWidth="1"/>
    <col min="14340" max="14341" width="15.54296875" bestFit="1" customWidth="1"/>
    <col min="14342" max="14342" width="17.81640625" customWidth="1"/>
    <col min="14593" max="14594" width="12" bestFit="1" customWidth="1"/>
    <col min="14596" max="14597" width="15.54296875" bestFit="1" customWidth="1"/>
    <col min="14598" max="14598" width="17.81640625" customWidth="1"/>
    <col min="14849" max="14850" width="12" bestFit="1" customWidth="1"/>
    <col min="14852" max="14853" width="15.54296875" bestFit="1" customWidth="1"/>
    <col min="14854" max="14854" width="17.81640625" customWidth="1"/>
    <col min="15105" max="15106" width="12" bestFit="1" customWidth="1"/>
    <col min="15108" max="15109" width="15.54296875" bestFit="1" customWidth="1"/>
    <col min="15110" max="15110" width="17.81640625" customWidth="1"/>
    <col min="15361" max="15362" width="12" bestFit="1" customWidth="1"/>
    <col min="15364" max="15365" width="15.54296875" bestFit="1" customWidth="1"/>
    <col min="15366" max="15366" width="17.81640625" customWidth="1"/>
    <col min="15617" max="15618" width="12" bestFit="1" customWidth="1"/>
    <col min="15620" max="15621" width="15.54296875" bestFit="1" customWidth="1"/>
    <col min="15622" max="15622" width="17.81640625" customWidth="1"/>
    <col min="15873" max="15874" width="12" bestFit="1" customWidth="1"/>
    <col min="15876" max="15877" width="15.54296875" bestFit="1" customWidth="1"/>
    <col min="15878" max="15878" width="17.81640625" customWidth="1"/>
    <col min="16129" max="16130" width="12" bestFit="1" customWidth="1"/>
    <col min="16132" max="16133" width="15.54296875" bestFit="1" customWidth="1"/>
    <col min="16134" max="16134" width="17.81640625" customWidth="1"/>
  </cols>
  <sheetData>
    <row r="1" spans="1:6" x14ac:dyDescent="0.35">
      <c r="A1" s="41" t="s">
        <v>69</v>
      </c>
      <c r="B1" s="36">
        <v>12110</v>
      </c>
    </row>
    <row r="3" spans="1:6" x14ac:dyDescent="0.35">
      <c r="A3" s="120" t="s">
        <v>69</v>
      </c>
      <c r="B3" s="120"/>
      <c r="C3" s="120" t="s">
        <v>39</v>
      </c>
      <c r="D3" s="120"/>
      <c r="E3" s="40" t="s">
        <v>40</v>
      </c>
    </row>
    <row r="4" spans="1:6" x14ac:dyDescent="0.35">
      <c r="A4" s="40" t="s">
        <v>41</v>
      </c>
      <c r="B4" s="40" t="s">
        <v>42</v>
      </c>
      <c r="C4" s="40" t="s">
        <v>41</v>
      </c>
      <c r="D4" s="40" t="s">
        <v>42</v>
      </c>
      <c r="E4" s="40" t="s">
        <v>43</v>
      </c>
    </row>
    <row r="5" spans="1:6" x14ac:dyDescent="0.35">
      <c r="A5" s="43">
        <v>0</v>
      </c>
      <c r="B5" s="43">
        <v>1078.71</v>
      </c>
      <c r="C5" s="36">
        <f t="shared" ref="C5:C9" si="0">A5*$B$1</f>
        <v>0</v>
      </c>
      <c r="D5" s="36">
        <v>13063178</v>
      </c>
      <c r="E5" s="37" t="s">
        <v>44</v>
      </c>
    </row>
    <row r="6" spans="1:6" x14ac:dyDescent="0.35">
      <c r="A6" s="43">
        <v>1078.71</v>
      </c>
      <c r="B6" s="43">
        <v>18985.009999999998</v>
      </c>
      <c r="C6" s="36">
        <f t="shared" si="0"/>
        <v>13063178.1</v>
      </c>
      <c r="D6" s="36">
        <v>229908471</v>
      </c>
      <c r="E6" s="38">
        <v>3.2500000000000001E-2</v>
      </c>
    </row>
    <row r="7" spans="1:6" x14ac:dyDescent="0.35">
      <c r="A7" s="43">
        <v>18985.009999999998</v>
      </c>
      <c r="B7" s="43">
        <v>57062.92</v>
      </c>
      <c r="C7" s="36">
        <f t="shared" si="0"/>
        <v>229908471.09999999</v>
      </c>
      <c r="D7" s="36">
        <v>691031961</v>
      </c>
      <c r="E7" s="38">
        <v>2.2499999999999999E-2</v>
      </c>
    </row>
    <row r="8" spans="1:6" x14ac:dyDescent="0.35">
      <c r="A8" s="43">
        <v>57062.92</v>
      </c>
      <c r="B8" s="43">
        <v>95140.88</v>
      </c>
      <c r="C8" s="36">
        <f t="shared" si="0"/>
        <v>691031961.19999993</v>
      </c>
      <c r="D8" s="36">
        <v>1152156057</v>
      </c>
      <c r="E8" s="39">
        <v>0.02</v>
      </c>
      <c r="F8" s="35"/>
    </row>
    <row r="9" spans="1:6" x14ac:dyDescent="0.35">
      <c r="A9" s="43">
        <v>95140.88</v>
      </c>
      <c r="B9" s="43">
        <v>190281.71</v>
      </c>
      <c r="C9" s="36">
        <f t="shared" si="0"/>
        <v>1152156056.8</v>
      </c>
      <c r="D9" s="36">
        <v>2304311508</v>
      </c>
      <c r="E9" s="38">
        <v>1.7500000000000002E-2</v>
      </c>
    </row>
    <row r="10" spans="1:6" x14ac:dyDescent="0.35">
      <c r="A10" s="43">
        <v>190281.71</v>
      </c>
      <c r="B10" s="43"/>
      <c r="C10" s="36">
        <f>A10*$B$1</f>
        <v>2304311508.0999999</v>
      </c>
      <c r="D10" s="36"/>
      <c r="E10" s="38">
        <v>1.4999999999999999E-2</v>
      </c>
    </row>
    <row r="12" spans="1:6" x14ac:dyDescent="0.35">
      <c r="A12" t="s">
        <v>77</v>
      </c>
      <c r="B12">
        <v>107.86</v>
      </c>
      <c r="C12" s="73">
        <f>+B12*B1</f>
        <v>1306184.6000000001</v>
      </c>
    </row>
    <row r="13" spans="1:6" x14ac:dyDescent="0.35">
      <c r="A13" t="s">
        <v>78</v>
      </c>
      <c r="B13">
        <v>215.76</v>
      </c>
      <c r="C13" s="73">
        <f>+B13*B1</f>
        <v>2612853.6</v>
      </c>
    </row>
    <row r="15" spans="1:6" x14ac:dyDescent="0.35">
      <c r="B15">
        <v>1750905</v>
      </c>
      <c r="C15">
        <v>400</v>
      </c>
      <c r="D15" s="75">
        <f>+C15*B15</f>
        <v>700362000</v>
      </c>
    </row>
    <row r="16" spans="1:6" x14ac:dyDescent="0.35">
      <c r="A16" t="s">
        <v>80</v>
      </c>
      <c r="B16">
        <v>1750905</v>
      </c>
      <c r="C16">
        <v>1000</v>
      </c>
      <c r="D16" s="75">
        <f>+C16*B16</f>
        <v>1750905000</v>
      </c>
    </row>
  </sheetData>
  <sheetProtection algorithmName="SHA-512" hashValue="vnoRxgKUDXX4WDFy0mxcC9vNUsrvER3E48mU8uGNN+WRry8Mg8kbG0Us4rh/KGrLb519gJLE8zWNeETaCTafzA==" saltValue="hOt10mF5tfc3aOmHlR7jXw==" spinCount="100000" sheet="1" objects="1" scenarios="1"/>
  <mergeCells count="2">
    <mergeCell ref="A3:B3"/>
    <mergeCell ref="C3: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59"/>
  <sheetViews>
    <sheetView workbookViewId="0"/>
  </sheetViews>
  <sheetFormatPr baseColWidth="10" defaultColWidth="11.453125" defaultRowHeight="14.5" x14ac:dyDescent="0.35"/>
  <cols>
    <col min="1" max="1" width="8.54296875" style="2" customWidth="1"/>
    <col min="2" max="2" width="53.1796875" style="2" customWidth="1"/>
    <col min="3" max="3" width="17.81640625" style="2" customWidth="1"/>
    <col min="4" max="4" width="23.1796875" style="2" customWidth="1"/>
    <col min="5" max="26" width="11.453125" style="2"/>
    <col min="27" max="27" width="2" style="2" hidden="1" customWidth="1"/>
    <col min="28" max="16384" width="11.453125" style="2"/>
  </cols>
  <sheetData>
    <row r="1" spans="1:27" ht="24" customHeight="1" x14ac:dyDescent="0.35">
      <c r="A1" s="1"/>
      <c r="B1" s="1"/>
      <c r="C1" s="1"/>
      <c r="D1" s="1"/>
      <c r="AA1" s="2">
        <v>1</v>
      </c>
    </row>
    <row r="2" spans="1:27" ht="19.5" customHeight="1" x14ac:dyDescent="0.35">
      <c r="A2" s="1"/>
      <c r="B2" s="1"/>
      <c r="C2" s="1"/>
      <c r="D2" s="1"/>
      <c r="AA2" s="2">
        <v>3</v>
      </c>
    </row>
    <row r="3" spans="1:27" x14ac:dyDescent="0.35">
      <c r="A3" s="1"/>
      <c r="B3" s="1"/>
      <c r="C3" s="1"/>
      <c r="D3" s="1"/>
      <c r="AA3" s="2">
        <v>5</v>
      </c>
    </row>
    <row r="4" spans="1:27" x14ac:dyDescent="0.35">
      <c r="A4" s="1"/>
      <c r="B4" s="1"/>
      <c r="C4" s="1"/>
      <c r="D4" s="1"/>
    </row>
    <row r="5" spans="1:27" x14ac:dyDescent="0.35">
      <c r="A5" s="1"/>
      <c r="B5" s="1"/>
      <c r="C5" s="1"/>
      <c r="D5" s="1"/>
    </row>
    <row r="6" spans="1:27" ht="21" x14ac:dyDescent="0.5">
      <c r="A6" s="98" t="s">
        <v>45</v>
      </c>
      <c r="B6" s="98"/>
      <c r="C6" s="98"/>
      <c r="D6" s="98"/>
    </row>
    <row r="7" spans="1:27" x14ac:dyDescent="0.35">
      <c r="A7" s="1"/>
      <c r="B7" s="1"/>
      <c r="C7" s="1"/>
      <c r="D7" s="1"/>
    </row>
    <row r="8" spans="1:27" x14ac:dyDescent="0.35">
      <c r="A8" s="1"/>
      <c r="B8" s="11" t="s">
        <v>27</v>
      </c>
      <c r="C8" s="1"/>
      <c r="D8" s="1"/>
    </row>
    <row r="9" spans="1:27" x14ac:dyDescent="0.35">
      <c r="A9" s="1"/>
      <c r="B9" s="1"/>
      <c r="C9" s="1"/>
      <c r="D9" s="1"/>
    </row>
    <row r="10" spans="1:27" x14ac:dyDescent="0.35">
      <c r="A10" s="1"/>
      <c r="B10" s="12" t="s">
        <v>75</v>
      </c>
      <c r="C10" s="5">
        <v>1750905</v>
      </c>
      <c r="D10" s="1"/>
    </row>
    <row r="11" spans="1:27" x14ac:dyDescent="0.35">
      <c r="B11" s="1" t="s">
        <v>6</v>
      </c>
      <c r="C11" s="9"/>
      <c r="D11" s="16" t="str">
        <f>+IF(AND(C11&gt;=1,C11&lt;=400*C10),"MENOR CUANTÍA",IF(C11&gt;400*C10,"MAYOR CUANTÍA",""))</f>
        <v/>
      </c>
    </row>
    <row r="12" spans="1:27" x14ac:dyDescent="0.35">
      <c r="B12" s="1"/>
      <c r="C12"/>
      <c r="D12" s="1"/>
    </row>
    <row r="13" spans="1:27" x14ac:dyDescent="0.35">
      <c r="B13" s="12" t="s">
        <v>46</v>
      </c>
      <c r="C13" s="4" t="str">
        <f>IF(C11="","",IF(AND(C11&gt;0,C11&lt;10*C10),(15*(C10/30))*1.19,C10*1.19))</f>
        <v/>
      </c>
      <c r="D13" s="1"/>
      <c r="K13" s="2" t="s">
        <v>47</v>
      </c>
    </row>
    <row r="14" spans="1:27" x14ac:dyDescent="0.35">
      <c r="B14" s="12"/>
      <c r="D14" s="1"/>
    </row>
    <row r="15" spans="1:27" ht="15" customHeight="1" x14ac:dyDescent="0.35">
      <c r="B15" s="26" t="s">
        <v>48</v>
      </c>
      <c r="C15" s="25" t="str">
        <f>IF(C11="","",IF(C11=0,0,IF(AND(C11&gt;0,C11&lt;10*C10),20*(C10/30),IF(AND(C11&gt;=10*C10,C11&lt;=176*C10),0.03*C11,IF(AND(C11&gt;176*C10,C11&lt;=529*C10),0.02*C11,IF(AND(C11&gt;529*C10,C11&lt;=882*C10),0.0175*C11,IF(AND(C11&gt;882*C10,C11&lt;=1764*C10),0.015*C11,0.0125*C11)))))))</f>
        <v/>
      </c>
      <c r="D15" s="123"/>
    </row>
    <row r="16" spans="1:27" x14ac:dyDescent="0.35">
      <c r="B16" s="1"/>
      <c r="C16"/>
      <c r="D16" s="123"/>
    </row>
    <row r="17" spans="2:5" x14ac:dyDescent="0.35">
      <c r="B17" s="1" t="s">
        <v>49</v>
      </c>
      <c r="C17" s="4" t="str">
        <f>IF(C11="","",(C15/2))</f>
        <v/>
      </c>
      <c r="D17" s="123"/>
    </row>
    <row r="18" spans="2:5" x14ac:dyDescent="0.35">
      <c r="B18" s="1"/>
      <c r="C18"/>
      <c r="D18" s="123"/>
    </row>
    <row r="19" spans="2:5" x14ac:dyDescent="0.35">
      <c r="B19" s="12" t="s">
        <v>34</v>
      </c>
      <c r="C19" s="5" t="str">
        <f>IF(C11="","",C17+C15)</f>
        <v/>
      </c>
      <c r="D19" s="123"/>
    </row>
    <row r="20" spans="2:5" x14ac:dyDescent="0.35">
      <c r="B20" s="1" t="s">
        <v>50</v>
      </c>
      <c r="C20" s="4" t="str">
        <f>IF(C11="","",C19*0.19)</f>
        <v/>
      </c>
      <c r="D20" s="123"/>
    </row>
    <row r="21" spans="2:5" x14ac:dyDescent="0.35">
      <c r="B21" s="1"/>
      <c r="C21" s="1"/>
      <c r="D21" s="123"/>
    </row>
    <row r="22" spans="2:5" x14ac:dyDescent="0.35">
      <c r="B22" s="12" t="s">
        <v>51</v>
      </c>
      <c r="C22" s="5" t="str">
        <f>IF(C11="","",C19+C20+C13)</f>
        <v/>
      </c>
      <c r="D22" s="123"/>
    </row>
    <row r="23" spans="2:5" x14ac:dyDescent="0.35">
      <c r="B23" s="1"/>
      <c r="C23" s="1"/>
      <c r="D23" s="1"/>
    </row>
    <row r="24" spans="2:5" x14ac:dyDescent="0.35">
      <c r="B24" s="1"/>
      <c r="C24" s="1"/>
      <c r="D24" s="1"/>
    </row>
    <row r="25" spans="2:5" x14ac:dyDescent="0.35">
      <c r="B25" s="1"/>
      <c r="C25" s="1"/>
      <c r="D25" s="1"/>
    </row>
    <row r="26" spans="2:5" ht="15.5" x14ac:dyDescent="0.35">
      <c r="B26" s="27" t="s">
        <v>38</v>
      </c>
      <c r="C26" s="1"/>
      <c r="D26" s="1"/>
    </row>
    <row r="27" spans="2:5" ht="99.75" customHeight="1" x14ac:dyDescent="0.45">
      <c r="B27" s="121" t="s">
        <v>52</v>
      </c>
      <c r="C27" s="121"/>
      <c r="D27" s="121"/>
      <c r="E27" s="121"/>
    </row>
    <row r="28" spans="2:5" ht="15.5" x14ac:dyDescent="0.35">
      <c r="B28" s="27"/>
      <c r="C28" s="1"/>
      <c r="D28" s="1"/>
    </row>
    <row r="29" spans="2:5" ht="15" customHeight="1" x14ac:dyDescent="0.35">
      <c r="B29" s="122" t="s">
        <v>53</v>
      </c>
      <c r="C29" s="122"/>
      <c r="D29" s="122"/>
    </row>
    <row r="30" spans="2:5" ht="15" customHeight="1" x14ac:dyDescent="0.35">
      <c r="B30" s="122"/>
      <c r="C30" s="122"/>
      <c r="D30" s="122"/>
    </row>
    <row r="31" spans="2:5" x14ac:dyDescent="0.35">
      <c r="B31" s="122"/>
      <c r="C31" s="122"/>
      <c r="D31" s="122"/>
    </row>
    <row r="32" spans="2:5" x14ac:dyDescent="0.35">
      <c r="B32" s="122"/>
      <c r="C32" s="122"/>
      <c r="D32" s="122"/>
    </row>
    <row r="33" spans="2:4" x14ac:dyDescent="0.35">
      <c r="B33" s="122"/>
      <c r="C33" s="122"/>
      <c r="D33" s="122"/>
    </row>
    <row r="34" spans="2:4" ht="15" customHeight="1" x14ac:dyDescent="0.35">
      <c r="B34" s="122"/>
      <c r="C34" s="122"/>
      <c r="D34" s="122"/>
    </row>
    <row r="35" spans="2:4" x14ac:dyDescent="0.35">
      <c r="B35" s="122"/>
      <c r="C35" s="122"/>
      <c r="D35" s="122"/>
    </row>
    <row r="36" spans="2:4" x14ac:dyDescent="0.35">
      <c r="B36" s="122"/>
      <c r="C36" s="122"/>
      <c r="D36" s="122"/>
    </row>
    <row r="37" spans="2:4" x14ac:dyDescent="0.35">
      <c r="B37" s="122"/>
      <c r="C37" s="122"/>
      <c r="D37" s="122"/>
    </row>
    <row r="38" spans="2:4" ht="15" customHeight="1" x14ac:dyDescent="0.35">
      <c r="B38" s="122"/>
      <c r="C38" s="122"/>
      <c r="D38" s="122"/>
    </row>
    <row r="39" spans="2:4" x14ac:dyDescent="0.35">
      <c r="B39" s="122"/>
      <c r="C39" s="122"/>
      <c r="D39" s="122"/>
    </row>
    <row r="40" spans="2:4" x14ac:dyDescent="0.35">
      <c r="B40" s="122"/>
      <c r="C40" s="122"/>
      <c r="D40" s="122"/>
    </row>
    <row r="41" spans="2:4" x14ac:dyDescent="0.35">
      <c r="B41" s="122"/>
      <c r="C41" s="122"/>
      <c r="D41" s="122"/>
    </row>
    <row r="42" spans="2:4" x14ac:dyDescent="0.35">
      <c r="B42" s="122"/>
      <c r="C42" s="122"/>
      <c r="D42" s="122"/>
    </row>
    <row r="43" spans="2:4" x14ac:dyDescent="0.35">
      <c r="B43" s="122"/>
      <c r="C43" s="122"/>
      <c r="D43" s="122"/>
    </row>
    <row r="44" spans="2:4" x14ac:dyDescent="0.35">
      <c r="B44" s="122"/>
      <c r="C44" s="122"/>
      <c r="D44" s="122"/>
    </row>
    <row r="45" spans="2:4" x14ac:dyDescent="0.35">
      <c r="B45" s="122"/>
      <c r="C45" s="122"/>
      <c r="D45" s="122"/>
    </row>
    <row r="46" spans="2:4" x14ac:dyDescent="0.35">
      <c r="B46" s="122"/>
      <c r="C46" s="122"/>
      <c r="D46" s="122"/>
    </row>
    <row r="47" spans="2:4" x14ac:dyDescent="0.35">
      <c r="B47" s="122"/>
      <c r="C47" s="122"/>
      <c r="D47" s="122"/>
    </row>
    <row r="48" spans="2:4" x14ac:dyDescent="0.35">
      <c r="B48" s="122"/>
      <c r="C48" s="122"/>
      <c r="D48" s="122"/>
    </row>
    <row r="49" spans="2:4" x14ac:dyDescent="0.35">
      <c r="B49" s="122"/>
      <c r="C49" s="122"/>
      <c r="D49" s="122"/>
    </row>
    <row r="50" spans="2:4" x14ac:dyDescent="0.35">
      <c r="B50" s="122"/>
      <c r="C50" s="122"/>
      <c r="D50" s="122"/>
    </row>
    <row r="51" spans="2:4" x14ac:dyDescent="0.35">
      <c r="B51" s="122"/>
      <c r="C51" s="122"/>
      <c r="D51" s="122"/>
    </row>
    <row r="52" spans="2:4" x14ac:dyDescent="0.35">
      <c r="B52" s="122"/>
      <c r="C52" s="122"/>
      <c r="D52" s="122"/>
    </row>
    <row r="53" spans="2:4" x14ac:dyDescent="0.35">
      <c r="B53" s="122"/>
      <c r="C53" s="122"/>
      <c r="D53" s="122"/>
    </row>
    <row r="54" spans="2:4" x14ac:dyDescent="0.35">
      <c r="B54" s="122"/>
      <c r="C54" s="122"/>
      <c r="D54" s="122"/>
    </row>
    <row r="55" spans="2:4" x14ac:dyDescent="0.35">
      <c r="B55" s="122"/>
      <c r="C55" s="122"/>
      <c r="D55" s="122"/>
    </row>
    <row r="56" spans="2:4" x14ac:dyDescent="0.35">
      <c r="B56" s="122"/>
      <c r="C56" s="122"/>
      <c r="D56" s="122"/>
    </row>
    <row r="57" spans="2:4" x14ac:dyDescent="0.35">
      <c r="B57" s="122"/>
      <c r="C57" s="122"/>
      <c r="D57" s="122"/>
    </row>
    <row r="58" spans="2:4" x14ac:dyDescent="0.35">
      <c r="B58" s="122"/>
      <c r="C58" s="122"/>
      <c r="D58" s="122"/>
    </row>
    <row r="59" spans="2:4" x14ac:dyDescent="0.35">
      <c r="B59" s="122"/>
      <c r="C59" s="122"/>
      <c r="D59" s="122"/>
    </row>
  </sheetData>
  <sheetProtection algorithmName="SHA-512" hashValue="G0s4HGNT/7rNnmbTQWhKbYUK8JYFj6m8amZs6FPnxkIUUTKZalmyuW/8FVWxBp6Hxddut0FcqqHk1OZ/b7jnzg==" saltValue="2TnKevPQMFV6bZqCLgPl2g==" spinCount="100000" sheet="1" objects="1" scenarios="1"/>
  <mergeCells count="4">
    <mergeCell ref="B27:E27"/>
    <mergeCell ref="A6:D6"/>
    <mergeCell ref="B29:D59"/>
    <mergeCell ref="D15:D2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G21"/>
  <sheetViews>
    <sheetView showGridLines="0" showRowColHeaders="0" workbookViewId="0"/>
  </sheetViews>
  <sheetFormatPr baseColWidth="10" defaultColWidth="11.453125" defaultRowHeight="14.5" x14ac:dyDescent="0.35"/>
  <cols>
    <col min="1" max="1" width="6.1796875" style="2" customWidth="1"/>
    <col min="2" max="2" width="33.81640625" style="2" customWidth="1"/>
    <col min="3" max="3" width="24" style="2" customWidth="1"/>
    <col min="4" max="4" width="4.1796875" style="2" customWidth="1"/>
    <col min="5" max="5" width="23.7265625" style="2" customWidth="1"/>
    <col min="6" max="6" width="11.453125" style="2"/>
    <col min="7" max="7" width="13" style="2" bestFit="1" customWidth="1"/>
    <col min="8"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30" t="s">
        <v>54</v>
      </c>
      <c r="C8" s="30"/>
      <c r="D8" s="30"/>
      <c r="E8" s="30"/>
    </row>
    <row r="9" spans="2:7" ht="15" customHeight="1" x14ac:dyDescent="0.45">
      <c r="B9" s="6"/>
      <c r="C9" s="6"/>
    </row>
    <row r="10" spans="2:7" x14ac:dyDescent="0.35">
      <c r="B10" s="11" t="s">
        <v>5</v>
      </c>
      <c r="F10" s="7"/>
    </row>
    <row r="11" spans="2:7" x14ac:dyDescent="0.35">
      <c r="B11" s="7"/>
      <c r="C11" s="8"/>
    </row>
    <row r="12" spans="2:7" x14ac:dyDescent="0.35">
      <c r="B12" s="1" t="s">
        <v>6</v>
      </c>
      <c r="C12" s="72"/>
      <c r="D12" s="10"/>
      <c r="E12" s="28"/>
      <c r="G12" s="15"/>
    </row>
    <row r="13" spans="2:7" x14ac:dyDescent="0.35">
      <c r="C13" s="8"/>
      <c r="G13" s="15"/>
    </row>
    <row r="14" spans="2:7" x14ac:dyDescent="0.35">
      <c r="B14" s="2" t="s">
        <v>61</v>
      </c>
      <c r="C14" s="63">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insolvencia'!F28)))))))))))))))))))))))*0.6</f>
        <v>0</v>
      </c>
      <c r="E14" s="29"/>
    </row>
    <row r="16" spans="2:7" x14ac:dyDescent="0.35">
      <c r="B16" s="2" t="s">
        <v>62</v>
      </c>
      <c r="C16" s="63">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insolvencia'!F28)))))))))))))))))))))))*0.4</f>
        <v>0</v>
      </c>
    </row>
    <row r="18" spans="2:3" x14ac:dyDescent="0.35">
      <c r="B18" s="3" t="s">
        <v>55</v>
      </c>
      <c r="C18" s="5" t="str">
        <f>+IF(C12="","",C14+C16)</f>
        <v/>
      </c>
    </row>
    <row r="19" spans="2:3" x14ac:dyDescent="0.35">
      <c r="B19" s="2" t="s">
        <v>50</v>
      </c>
      <c r="C19" s="63" t="str">
        <f>+IF(C12="","",C18*0.19)</f>
        <v/>
      </c>
    </row>
    <row r="20" spans="2:3" x14ac:dyDescent="0.35">
      <c r="C20" s="8"/>
    </row>
    <row r="21" spans="2:3" x14ac:dyDescent="0.35">
      <c r="B21" s="3" t="s">
        <v>56</v>
      </c>
      <c r="C21" s="5" t="str">
        <f>+IF(C12="","",C18+C19)</f>
        <v/>
      </c>
    </row>
  </sheetData>
  <sheetProtection algorithmName="SHA-512" hashValue="7O5ZT02tDSsUaoYqPFTyVWp879TdkSXlgbANqCjNVYHz+nJwQSR2zK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6DA1-5FC0-4A6A-AD74-AED002049E52}">
  <dimension ref="A1:G28"/>
  <sheetViews>
    <sheetView workbookViewId="0">
      <selection activeCell="B2" sqref="B2"/>
    </sheetView>
  </sheetViews>
  <sheetFormatPr baseColWidth="10" defaultColWidth="11.453125" defaultRowHeight="14.5" x14ac:dyDescent="0.35"/>
  <cols>
    <col min="3" max="3" width="16.26953125" customWidth="1"/>
    <col min="4" max="4" width="17.7265625" style="35" customWidth="1"/>
    <col min="6" max="6" width="17.81640625" customWidth="1"/>
    <col min="7" max="7" width="13.453125" customWidth="1"/>
  </cols>
  <sheetData>
    <row r="1" spans="1:7" x14ac:dyDescent="0.35">
      <c r="A1" s="45" t="s">
        <v>18</v>
      </c>
      <c r="B1" s="46">
        <v>52374</v>
      </c>
      <c r="G1" s="35"/>
    </row>
    <row r="2" spans="1:7" x14ac:dyDescent="0.35">
      <c r="A2" s="47"/>
      <c r="B2" s="35"/>
      <c r="D2" s="35">
        <f>+D6/B1</f>
        <v>25.019990835147212</v>
      </c>
      <c r="G2" s="35"/>
    </row>
    <row r="3" spans="1:7" x14ac:dyDescent="0.35">
      <c r="A3" s="126" t="s">
        <v>57</v>
      </c>
      <c r="B3" s="127"/>
      <c r="C3" s="127"/>
      <c r="D3" s="127"/>
      <c r="E3" s="127"/>
      <c r="F3" s="127"/>
      <c r="G3" s="35"/>
    </row>
    <row r="4" spans="1:7" x14ac:dyDescent="0.35">
      <c r="A4" s="128" t="s">
        <v>58</v>
      </c>
      <c r="B4" s="129"/>
      <c r="C4" s="130" t="s">
        <v>59</v>
      </c>
      <c r="D4" s="131"/>
      <c r="E4" s="132" t="s">
        <v>20</v>
      </c>
      <c r="F4" s="124" t="s">
        <v>21</v>
      </c>
      <c r="G4" s="124" t="s">
        <v>60</v>
      </c>
    </row>
    <row r="5" spans="1:7" x14ac:dyDescent="0.35">
      <c r="A5" s="48" t="s">
        <v>22</v>
      </c>
      <c r="B5" s="48" t="s">
        <v>23</v>
      </c>
      <c r="C5" s="49" t="s">
        <v>22</v>
      </c>
      <c r="D5" s="49" t="s">
        <v>23</v>
      </c>
      <c r="E5" s="133"/>
      <c r="F5" s="134"/>
      <c r="G5" s="125"/>
    </row>
    <row r="6" spans="1:7" x14ac:dyDescent="0.35">
      <c r="A6" s="50">
        <v>0</v>
      </c>
      <c r="B6" s="50">
        <v>25.02</v>
      </c>
      <c r="C6" s="51">
        <f>ROUND(A6*$B$1,0)</f>
        <v>0</v>
      </c>
      <c r="D6" s="51">
        <f>ROUND(B6*$B$1,0)</f>
        <v>1310397</v>
      </c>
      <c r="E6" s="52">
        <v>4.5</v>
      </c>
      <c r="F6" s="53">
        <f>E6*$B$1</f>
        <v>235683</v>
      </c>
      <c r="G6" s="54">
        <f>+F6*1.19</f>
        <v>280462.76999999996</v>
      </c>
    </row>
    <row r="7" spans="1:7" x14ac:dyDescent="0.35">
      <c r="A7" s="50">
        <f>+B6</f>
        <v>25.02</v>
      </c>
      <c r="B7" s="50">
        <v>250.23</v>
      </c>
      <c r="C7" s="51">
        <f>+D6+1</f>
        <v>1310398</v>
      </c>
      <c r="D7" s="51">
        <f t="shared" ref="D7:D27" si="0">ROUND(B7*$B$1,0)</f>
        <v>13105546</v>
      </c>
      <c r="E7" s="52">
        <v>17.52</v>
      </c>
      <c r="F7" s="53">
        <f t="shared" ref="F7:F28" si="1">E7*$B$1</f>
        <v>917592.48</v>
      </c>
      <c r="G7" s="54">
        <f t="shared" ref="G7:G28" si="2">+F7*1.19</f>
        <v>1091935.0511999999</v>
      </c>
    </row>
    <row r="8" spans="1:7" x14ac:dyDescent="0.35">
      <c r="A8" s="50">
        <f t="shared" ref="A8:A28" si="3">+B7</f>
        <v>250.23</v>
      </c>
      <c r="B8" s="50">
        <v>500.45</v>
      </c>
      <c r="C8" s="51">
        <f t="shared" ref="C8:C24" si="4">+D7+1</f>
        <v>13105547</v>
      </c>
      <c r="D8" s="51">
        <f t="shared" si="0"/>
        <v>26210568</v>
      </c>
      <c r="E8" s="52">
        <v>25.02</v>
      </c>
      <c r="F8" s="53">
        <f t="shared" si="1"/>
        <v>1310397.48</v>
      </c>
      <c r="G8" s="54">
        <f t="shared" si="2"/>
        <v>1559373.0011999998</v>
      </c>
    </row>
    <row r="9" spans="1:7" x14ac:dyDescent="0.35">
      <c r="A9" s="50">
        <f t="shared" si="3"/>
        <v>500.45</v>
      </c>
      <c r="B9" s="50">
        <v>1000.91</v>
      </c>
      <c r="C9" s="51">
        <f t="shared" si="4"/>
        <v>26210569</v>
      </c>
      <c r="D9" s="51">
        <f t="shared" si="0"/>
        <v>52421660</v>
      </c>
      <c r="E9" s="52">
        <v>30.26</v>
      </c>
      <c r="F9" s="53">
        <f t="shared" si="1"/>
        <v>1584837.24</v>
      </c>
      <c r="G9" s="54">
        <f t="shared" si="2"/>
        <v>1885956.3155999999</v>
      </c>
    </row>
    <row r="10" spans="1:7" x14ac:dyDescent="0.35">
      <c r="A10" s="50">
        <f t="shared" si="3"/>
        <v>1000.91</v>
      </c>
      <c r="B10" s="50">
        <v>1501.36</v>
      </c>
      <c r="C10" s="51">
        <f t="shared" si="4"/>
        <v>52421661</v>
      </c>
      <c r="D10" s="51">
        <f t="shared" si="0"/>
        <v>78632229</v>
      </c>
      <c r="E10" s="52">
        <v>34.21</v>
      </c>
      <c r="F10" s="53">
        <f t="shared" si="1"/>
        <v>1791714.54</v>
      </c>
      <c r="G10" s="54">
        <f t="shared" si="2"/>
        <v>2132140.3026000001</v>
      </c>
    </row>
    <row r="11" spans="1:7" x14ac:dyDescent="0.35">
      <c r="A11" s="50">
        <f t="shared" si="3"/>
        <v>1501.36</v>
      </c>
      <c r="B11" s="50">
        <v>2001.82</v>
      </c>
      <c r="C11" s="51">
        <f t="shared" si="4"/>
        <v>78632230</v>
      </c>
      <c r="D11" s="51">
        <f t="shared" si="0"/>
        <v>104843321</v>
      </c>
      <c r="E11" s="52">
        <v>37.630000000000003</v>
      </c>
      <c r="F11" s="53">
        <f t="shared" si="1"/>
        <v>1970833.62</v>
      </c>
      <c r="G11" s="54">
        <f t="shared" si="2"/>
        <v>2345292.0078000003</v>
      </c>
    </row>
    <row r="12" spans="1:7" x14ac:dyDescent="0.35">
      <c r="A12" s="50">
        <f t="shared" si="3"/>
        <v>2001.82</v>
      </c>
      <c r="B12" s="50">
        <v>2502.27</v>
      </c>
      <c r="C12" s="51">
        <f t="shared" si="4"/>
        <v>104843322</v>
      </c>
      <c r="D12" s="51">
        <f t="shared" si="0"/>
        <v>131053889</v>
      </c>
      <c r="E12" s="52">
        <v>41.39</v>
      </c>
      <c r="F12" s="53">
        <f t="shared" si="1"/>
        <v>2167759.86</v>
      </c>
      <c r="G12" s="54">
        <f t="shared" si="2"/>
        <v>2579634.2333999998</v>
      </c>
    </row>
    <row r="13" spans="1:7" x14ac:dyDescent="0.35">
      <c r="A13" s="50">
        <f t="shared" si="3"/>
        <v>2502.27</v>
      </c>
      <c r="B13" s="50">
        <v>3002.73</v>
      </c>
      <c r="C13" s="51">
        <f t="shared" si="4"/>
        <v>131053890</v>
      </c>
      <c r="D13" s="51">
        <f t="shared" si="0"/>
        <v>157264981</v>
      </c>
      <c r="E13" s="52">
        <v>45.53</v>
      </c>
      <c r="F13" s="53">
        <f t="shared" si="1"/>
        <v>2384588.2200000002</v>
      </c>
      <c r="G13" s="54">
        <f t="shared" si="2"/>
        <v>2837659.9818000002</v>
      </c>
    </row>
    <row r="14" spans="1:7" x14ac:dyDescent="0.35">
      <c r="A14" s="50">
        <f t="shared" si="3"/>
        <v>3002.73</v>
      </c>
      <c r="B14" s="50">
        <v>3500.18</v>
      </c>
      <c r="C14" s="51">
        <f t="shared" si="4"/>
        <v>157264982</v>
      </c>
      <c r="D14" s="51">
        <f t="shared" si="0"/>
        <v>183318427</v>
      </c>
      <c r="E14" s="52">
        <v>50.08</v>
      </c>
      <c r="F14" s="53">
        <f t="shared" si="1"/>
        <v>2622889.92</v>
      </c>
      <c r="G14" s="54">
        <f t="shared" si="2"/>
        <v>3121239.0047999998</v>
      </c>
    </row>
    <row r="15" spans="1:7" x14ac:dyDescent="0.35">
      <c r="A15" s="50">
        <f t="shared" si="3"/>
        <v>3500.18</v>
      </c>
      <c r="B15" s="50">
        <v>4003.64</v>
      </c>
      <c r="C15" s="51">
        <f t="shared" si="4"/>
        <v>183318428</v>
      </c>
      <c r="D15" s="51">
        <f t="shared" si="0"/>
        <v>209686641</v>
      </c>
      <c r="E15" s="52">
        <v>55.09</v>
      </c>
      <c r="F15" s="53">
        <f t="shared" si="1"/>
        <v>2885283.66</v>
      </c>
      <c r="G15" s="54">
        <f t="shared" si="2"/>
        <v>3433487.5554</v>
      </c>
    </row>
    <row r="16" spans="1:7" x14ac:dyDescent="0.35">
      <c r="A16" s="50">
        <f t="shared" si="3"/>
        <v>4003.64</v>
      </c>
      <c r="B16" s="50">
        <v>4504.09</v>
      </c>
      <c r="C16" s="51">
        <f t="shared" si="4"/>
        <v>209686642</v>
      </c>
      <c r="D16" s="51">
        <f t="shared" si="0"/>
        <v>235897210</v>
      </c>
      <c r="E16" s="52">
        <v>60.6</v>
      </c>
      <c r="F16" s="53">
        <f t="shared" si="1"/>
        <v>3173864.4</v>
      </c>
      <c r="G16" s="54">
        <f t="shared" si="2"/>
        <v>3776898.6359999999</v>
      </c>
    </row>
    <row r="17" spans="1:7" x14ac:dyDescent="0.35">
      <c r="A17" s="50">
        <f t="shared" si="3"/>
        <v>4504.09</v>
      </c>
      <c r="B17" s="50">
        <v>5004.55</v>
      </c>
      <c r="C17" s="51">
        <f t="shared" si="4"/>
        <v>235897211</v>
      </c>
      <c r="D17" s="51">
        <f t="shared" si="0"/>
        <v>262108302</v>
      </c>
      <c r="E17" s="52">
        <v>66.66</v>
      </c>
      <c r="F17" s="53">
        <f t="shared" si="1"/>
        <v>3491250.84</v>
      </c>
      <c r="G17" s="54">
        <f t="shared" si="2"/>
        <v>4154588.4995999997</v>
      </c>
    </row>
    <row r="18" spans="1:7" x14ac:dyDescent="0.35">
      <c r="A18" s="50">
        <f t="shared" si="3"/>
        <v>5004.55</v>
      </c>
      <c r="B18" s="50">
        <v>5505</v>
      </c>
      <c r="C18" s="51">
        <f t="shared" si="4"/>
        <v>262108303</v>
      </c>
      <c r="D18" s="51">
        <f t="shared" si="0"/>
        <v>288318870</v>
      </c>
      <c r="E18" s="52">
        <v>73.33</v>
      </c>
      <c r="F18" s="53">
        <f t="shared" si="1"/>
        <v>3840585.42</v>
      </c>
      <c r="G18" s="54">
        <f t="shared" si="2"/>
        <v>4570296.6497999998</v>
      </c>
    </row>
    <row r="19" spans="1:7" x14ac:dyDescent="0.35">
      <c r="A19" s="50">
        <f t="shared" si="3"/>
        <v>5505</v>
      </c>
      <c r="B19" s="50">
        <v>6005.46</v>
      </c>
      <c r="C19" s="51">
        <f t="shared" si="4"/>
        <v>288318871</v>
      </c>
      <c r="D19" s="51">
        <f t="shared" si="0"/>
        <v>314529962</v>
      </c>
      <c r="E19" s="52">
        <v>80.66</v>
      </c>
      <c r="F19" s="53">
        <f t="shared" si="1"/>
        <v>4224486.84</v>
      </c>
      <c r="G19" s="54">
        <f t="shared" si="2"/>
        <v>5027139.3395999996</v>
      </c>
    </row>
    <row r="20" spans="1:7" x14ac:dyDescent="0.35">
      <c r="A20" s="50">
        <f t="shared" si="3"/>
        <v>6005.46</v>
      </c>
      <c r="B20" s="50">
        <v>6505.91</v>
      </c>
      <c r="C20" s="51">
        <f t="shared" si="4"/>
        <v>314529963</v>
      </c>
      <c r="D20" s="51">
        <f t="shared" si="0"/>
        <v>340740530</v>
      </c>
      <c r="E20" s="52">
        <v>88.72</v>
      </c>
      <c r="F20" s="53">
        <f t="shared" si="1"/>
        <v>4646621.28</v>
      </c>
      <c r="G20" s="54">
        <f t="shared" si="2"/>
        <v>5529479.3232000005</v>
      </c>
    </row>
    <row r="21" spans="1:7" x14ac:dyDescent="0.35">
      <c r="A21" s="50">
        <f t="shared" si="3"/>
        <v>6505.91</v>
      </c>
      <c r="B21" s="50">
        <v>7006.37</v>
      </c>
      <c r="C21" s="51">
        <f t="shared" si="4"/>
        <v>340740531</v>
      </c>
      <c r="D21" s="51">
        <f t="shared" si="0"/>
        <v>366951622</v>
      </c>
      <c r="E21" s="52">
        <v>97.6</v>
      </c>
      <c r="F21" s="53">
        <f t="shared" si="1"/>
        <v>5111702.3999999994</v>
      </c>
      <c r="G21" s="54">
        <f t="shared" si="2"/>
        <v>6082925.8559999987</v>
      </c>
    </row>
    <row r="22" spans="1:7" x14ac:dyDescent="0.35">
      <c r="A22" s="50">
        <f t="shared" si="3"/>
        <v>7006.37</v>
      </c>
      <c r="B22" s="55">
        <v>7506.82</v>
      </c>
      <c r="C22" s="56">
        <f t="shared" si="4"/>
        <v>366951623</v>
      </c>
      <c r="D22" s="56">
        <f t="shared" si="0"/>
        <v>393162191</v>
      </c>
      <c r="E22" s="57">
        <v>107.36</v>
      </c>
      <c r="F22" s="53">
        <f t="shared" si="1"/>
        <v>5622872.6399999997</v>
      </c>
      <c r="G22" s="54">
        <f t="shared" si="2"/>
        <v>6691218.4415999996</v>
      </c>
    </row>
    <row r="23" spans="1:7" x14ac:dyDescent="0.35">
      <c r="A23" s="50">
        <f t="shared" si="3"/>
        <v>7506.82</v>
      </c>
      <c r="B23" s="58">
        <v>8007.28</v>
      </c>
      <c r="C23" s="59">
        <f t="shared" si="4"/>
        <v>393162192</v>
      </c>
      <c r="D23" s="59">
        <f t="shared" si="0"/>
        <v>419373283</v>
      </c>
      <c r="E23" s="60">
        <v>118.09</v>
      </c>
      <c r="F23" s="53">
        <f t="shared" si="1"/>
        <v>6184845.6600000001</v>
      </c>
      <c r="G23" s="54">
        <f t="shared" si="2"/>
        <v>7359966.3354000002</v>
      </c>
    </row>
    <row r="24" spans="1:7" x14ac:dyDescent="0.35">
      <c r="A24" s="50">
        <f t="shared" si="3"/>
        <v>8007.28</v>
      </c>
      <c r="B24" s="58">
        <v>8507.73</v>
      </c>
      <c r="C24" s="59">
        <f t="shared" si="4"/>
        <v>419373284</v>
      </c>
      <c r="D24" s="59">
        <f t="shared" si="0"/>
        <v>445583851</v>
      </c>
      <c r="E24" s="60">
        <v>129.9</v>
      </c>
      <c r="F24" s="53">
        <f t="shared" si="1"/>
        <v>6803382.6000000006</v>
      </c>
      <c r="G24" s="54">
        <f t="shared" si="2"/>
        <v>8096025.2940000007</v>
      </c>
    </row>
    <row r="25" spans="1:7" x14ac:dyDescent="0.35">
      <c r="A25" s="50">
        <f t="shared" si="3"/>
        <v>8507.73</v>
      </c>
      <c r="B25" s="58">
        <v>9008.19</v>
      </c>
      <c r="C25" s="59">
        <f>+D24+1</f>
        <v>445583852</v>
      </c>
      <c r="D25" s="59">
        <f t="shared" si="0"/>
        <v>471794943</v>
      </c>
      <c r="E25" s="60">
        <v>142.88999999999999</v>
      </c>
      <c r="F25" s="53">
        <f t="shared" si="1"/>
        <v>7483720.8599999994</v>
      </c>
      <c r="G25" s="54">
        <f t="shared" si="2"/>
        <v>8905627.8233999982</v>
      </c>
    </row>
    <row r="26" spans="1:7" x14ac:dyDescent="0.35">
      <c r="A26" s="50">
        <f t="shared" si="3"/>
        <v>9008.19</v>
      </c>
      <c r="B26" s="58">
        <v>9508.64</v>
      </c>
      <c r="C26" s="59">
        <f t="shared" ref="C26:C28" si="5">+D25+1</f>
        <v>471794944</v>
      </c>
      <c r="D26" s="59">
        <f t="shared" si="0"/>
        <v>498005511</v>
      </c>
      <c r="E26" s="60">
        <v>157.18</v>
      </c>
      <c r="F26" s="53">
        <f t="shared" si="1"/>
        <v>8232145.3200000003</v>
      </c>
      <c r="G26" s="54">
        <f t="shared" si="2"/>
        <v>9796252.9308000002</v>
      </c>
    </row>
    <row r="27" spans="1:7" x14ac:dyDescent="0.35">
      <c r="A27" s="50">
        <f t="shared" si="3"/>
        <v>9508.64</v>
      </c>
      <c r="B27" s="58">
        <v>10009.1</v>
      </c>
      <c r="C27" s="61">
        <f t="shared" si="5"/>
        <v>498005512</v>
      </c>
      <c r="D27" s="61">
        <f t="shared" si="0"/>
        <v>524216603</v>
      </c>
      <c r="E27" s="60">
        <v>167.27</v>
      </c>
      <c r="F27" s="53">
        <f t="shared" si="1"/>
        <v>8760598.9800000004</v>
      </c>
      <c r="G27" s="54">
        <f t="shared" si="2"/>
        <v>10425112.7862</v>
      </c>
    </row>
    <row r="28" spans="1:7" x14ac:dyDescent="0.35">
      <c r="A28" s="50">
        <f t="shared" si="3"/>
        <v>10009.1</v>
      </c>
      <c r="B28" s="58" t="s">
        <v>25</v>
      </c>
      <c r="C28" s="51">
        <f t="shared" si="5"/>
        <v>524216604</v>
      </c>
      <c r="D28" s="51" t="e">
        <f t="shared" ref="D28" si="6">+B28*$B$1</f>
        <v>#VALUE!</v>
      </c>
      <c r="E28" s="62">
        <v>171.93</v>
      </c>
      <c r="F28" s="53">
        <f t="shared" si="1"/>
        <v>9004661.8200000003</v>
      </c>
      <c r="G28" s="54">
        <f t="shared" si="2"/>
        <v>10715547.5658</v>
      </c>
    </row>
  </sheetData>
  <sheetProtection algorithmName="SHA-512" hashValue="vIvfldA9RI4InktnDjqn1Y6dmrvsFGIyYPeBquyXqCGcisl0LyJqVc/9e6HcM7K/mVhwSqcwQI37/CWom4Q68g==" saltValue="tw2sL1+qT8Xdlp+4m2c6HQ==" spinCount="100000" sheet="1" objects="1" scenarios="1"/>
  <mergeCells count="6">
    <mergeCell ref="G4:G5"/>
    <mergeCell ref="A3:F3"/>
    <mergeCell ref="A4:B4"/>
    <mergeCell ref="C4:D4"/>
    <mergeCell ref="E4:E5"/>
    <mergeCell ref="F4: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43FB-7304-4846-A28F-4ADC98F70954}">
  <sheetPr>
    <pageSetUpPr fitToPage="1"/>
  </sheetPr>
  <dimension ref="B1:G21"/>
  <sheetViews>
    <sheetView workbookViewId="0"/>
  </sheetViews>
  <sheetFormatPr baseColWidth="10" defaultColWidth="11.453125" defaultRowHeight="14.5" x14ac:dyDescent="0.35"/>
  <cols>
    <col min="1" max="1" width="6.1796875" style="2" customWidth="1"/>
    <col min="2" max="2" width="33.81640625" style="2" customWidth="1"/>
    <col min="3" max="3" width="19.453125" style="2" customWidth="1"/>
    <col min="4" max="4" width="4.1796875" style="2" customWidth="1"/>
    <col min="5" max="5" width="23.7265625" style="2" customWidth="1"/>
    <col min="6" max="6" width="11.453125" style="2"/>
    <col min="7" max="7" width="13" style="2" bestFit="1" customWidth="1"/>
    <col min="8" max="10" width="11.453125" style="2"/>
    <col min="11" max="11" width="23.81640625" style="2" bestFit="1" customWidth="1"/>
    <col min="12" max="16384" width="11.453125" style="2"/>
  </cols>
  <sheetData>
    <row r="1" spans="2:7" ht="21.75" customHeight="1" x14ac:dyDescent="0.35"/>
    <row r="5" spans="2:7" ht="11.25" customHeight="1" x14ac:dyDescent="0.35"/>
    <row r="6" spans="2:7" ht="11.25" customHeight="1" x14ac:dyDescent="0.35"/>
    <row r="7" spans="2:7" x14ac:dyDescent="0.35">
      <c r="B7" s="97"/>
      <c r="C7" s="97"/>
    </row>
    <row r="8" spans="2:7" ht="21" x14ac:dyDescent="0.5">
      <c r="B8" s="30" t="s">
        <v>63</v>
      </c>
      <c r="C8" s="30"/>
      <c r="D8" s="30"/>
      <c r="E8" s="30"/>
    </row>
    <row r="9" spans="2:7" ht="15" customHeight="1" x14ac:dyDescent="0.45">
      <c r="B9" s="6"/>
      <c r="C9" s="6"/>
    </row>
    <row r="10" spans="2:7" x14ac:dyDescent="0.35">
      <c r="B10" s="11" t="s">
        <v>5</v>
      </c>
      <c r="F10" s="7"/>
    </row>
    <row r="11" spans="2:7" x14ac:dyDescent="0.35">
      <c r="B11" s="7"/>
      <c r="C11" s="8"/>
    </row>
    <row r="12" spans="2:7" x14ac:dyDescent="0.35">
      <c r="B12" s="1" t="s">
        <v>64</v>
      </c>
      <c r="C12" s="64"/>
      <c r="D12" s="10"/>
      <c r="E12" s="28"/>
      <c r="G12" s="15"/>
    </row>
    <row r="13" spans="2:7" x14ac:dyDescent="0.35">
      <c r="C13" s="8"/>
      <c r="G13" s="15"/>
    </row>
    <row r="14" spans="2:7" x14ac:dyDescent="0.35">
      <c r="B14" s="2" t="s">
        <v>65</v>
      </c>
      <c r="C14" s="63" t="str">
        <f>+IF(C12="","",IF((C12*0.02)&lt;=TARIFAS_PRE!$C$6,TARIFAS_PRE!$C$6,IF((C12*0.02)&gt;=TARIFAS_PRE!$C$7,TARIFAS_PRE!$C$7,(C12*0.02)))*0.5)</f>
        <v/>
      </c>
      <c r="E14" s="29"/>
    </row>
    <row r="16" spans="2:7" x14ac:dyDescent="0.35">
      <c r="B16" s="2" t="s">
        <v>66</v>
      </c>
      <c r="C16" s="63" t="str">
        <f>+IF(C12="","",IF((C12*0.02)&lt;=TARIFAS_PRE!$C$6,TARIFAS_PRE!$C$6,IF((C12*0.02)&gt;=TARIFAS_PRE!$C$7,TARIFAS_PRE!$C$7,(C12*0.02)))*0.5)</f>
        <v/>
      </c>
    </row>
    <row r="18" spans="2:3" x14ac:dyDescent="0.35">
      <c r="B18" s="3" t="s">
        <v>55</v>
      </c>
      <c r="C18" s="65" t="str">
        <f>+IF(C12="","",C14+C16)</f>
        <v/>
      </c>
    </row>
    <row r="19" spans="2:3" x14ac:dyDescent="0.35">
      <c r="B19" s="1" t="s">
        <v>50</v>
      </c>
      <c r="C19" s="63" t="str">
        <f>IF(C12="","",C18*0.19)</f>
        <v/>
      </c>
    </row>
    <row r="21" spans="2:3" x14ac:dyDescent="0.35">
      <c r="B21" s="3" t="s">
        <v>56</v>
      </c>
      <c r="C21" s="65" t="str">
        <f>+IF(C12="","",C18*1.19)</f>
        <v/>
      </c>
    </row>
  </sheetData>
  <sheetProtection algorithmName="SHA-512" hashValue="HVGPs1KiBIqkIIZ0Sd/Y+OAjbhCxRP74kJe4aHZsye6yLnyUeMmvD8KQrHAJmlPM6tOLX8/VXNrgt9U/Mo6bbg==" saltValue="VRh4c9OibdH2eFenwzi8Ww==" spinCount="100000" sheet="1" objects="1" scenarios="1"/>
  <mergeCells count="1">
    <mergeCell ref="B7:C7"/>
  </mergeCells>
  <pageMargins left="0.7" right="0.7" top="0.75" bottom="0.75" header="0.3" footer="0.3"/>
  <pageSetup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CALCULADORA TARIFAS</vt:lpstr>
      <vt:lpstr>Conciliación</vt:lpstr>
      <vt:lpstr>TARIFAS CONCILIACION</vt:lpstr>
      <vt:lpstr>Arbitraje</vt:lpstr>
      <vt:lpstr>TARIFA ARBITRAJE</vt:lpstr>
      <vt:lpstr>Amigable Composición</vt:lpstr>
      <vt:lpstr>Insolvencia PN no CTE</vt:lpstr>
      <vt:lpstr>Tarifas insolvencia</vt:lpstr>
      <vt:lpstr>PRE</vt:lpstr>
      <vt:lpstr>TARIFAS_PRE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cvasquezg</dc:creator>
  <cp:keywords/>
  <dc:description/>
  <cp:lastModifiedBy>Andrea Arias Gomez</cp:lastModifiedBy>
  <cp:revision/>
  <dcterms:created xsi:type="dcterms:W3CDTF">2013-09-27T13:47:09Z</dcterms:created>
  <dcterms:modified xsi:type="dcterms:W3CDTF">2026-03-09T18:46:28Z</dcterms:modified>
  <cp:category/>
  <cp:contentStatus/>
</cp:coreProperties>
</file>